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filterPrivacy="1" defaultThemeVersion="164011"/>
  <bookViews>
    <workbookView xWindow="0" yWindow="0" windowWidth="25200" windowHeight="11610"/>
  </bookViews>
  <sheets>
    <sheet name="Sheet1" sheetId="1" r:id="rId1"/>
  </sheets>
  <definedNames>
    <definedName name="_xlnm.Print_Area" localSheetId="0">Sheet1!$A$1:$L$74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7" i="1" l="1"/>
  <c r="K37" i="1"/>
  <c r="K49" i="1" l="1"/>
  <c r="J49" i="1" s="1"/>
  <c r="K12" i="1"/>
  <c r="J12" i="1" s="1"/>
  <c r="K17" i="1"/>
  <c r="J17" i="1" s="1"/>
  <c r="I32" i="1" l="1"/>
  <c r="K31" i="1"/>
  <c r="J15" i="1"/>
  <c r="J21" i="1"/>
  <c r="J51" i="1" l="1"/>
  <c r="K81" i="1"/>
  <c r="K82" i="1" s="1"/>
  <c r="M79" i="1"/>
  <c r="K13" i="1"/>
  <c r="I10" i="1"/>
  <c r="I67" i="1" s="1"/>
  <c r="K63" i="1" l="1"/>
  <c r="I58" i="1"/>
  <c r="I60" i="1" s="1"/>
  <c r="J58" i="1"/>
  <c r="K64" i="1"/>
  <c r="K62" i="1"/>
  <c r="K61" i="1"/>
  <c r="I66" i="1"/>
  <c r="K57" i="1"/>
  <c r="K56" i="1"/>
  <c r="K55" i="1"/>
  <c r="K54" i="1"/>
  <c r="I53" i="1"/>
  <c r="K48" i="1"/>
  <c r="K47" i="1"/>
  <c r="K46" i="1"/>
  <c r="I45" i="1"/>
  <c r="K43" i="1"/>
  <c r="K42" i="1"/>
  <c r="K41" i="1"/>
  <c r="I39" i="1"/>
  <c r="K36" i="1"/>
  <c r="K35" i="1"/>
  <c r="K34" i="1"/>
  <c r="I33" i="1"/>
  <c r="K30" i="1"/>
  <c r="K29" i="1"/>
  <c r="K28" i="1"/>
  <c r="K27" i="1"/>
  <c r="K26" i="1"/>
  <c r="K25" i="1"/>
  <c r="I23" i="1"/>
  <c r="K20" i="1"/>
  <c r="K19" i="1"/>
  <c r="K18" i="1"/>
  <c r="K16" i="1"/>
  <c r="I15" i="1"/>
  <c r="K14" i="1"/>
  <c r="I11" i="1"/>
  <c r="K9" i="1"/>
  <c r="K8" i="1"/>
  <c r="K7" i="1"/>
  <c r="K6" i="1"/>
  <c r="K65" i="1" l="1"/>
  <c r="K10" i="1"/>
  <c r="K32" i="1"/>
  <c r="K38" i="1"/>
  <c r="K44" i="1"/>
  <c r="I68" i="1"/>
  <c r="K52" i="1"/>
  <c r="K59" i="1"/>
  <c r="J59" i="1" s="1"/>
  <c r="J60" i="1" s="1"/>
  <c r="K22" i="1"/>
  <c r="K23" i="1" s="1"/>
  <c r="J65" i="1"/>
  <c r="J66" i="1" s="1"/>
  <c r="J10" i="1"/>
  <c r="I24" i="1"/>
  <c r="J44" i="1"/>
  <c r="J45" i="1" s="1"/>
  <c r="K15" i="1"/>
  <c r="L78" i="1" s="1"/>
  <c r="I40" i="1"/>
  <c r="J38" i="1"/>
  <c r="J39" i="1" s="1"/>
  <c r="J11" i="1" l="1"/>
  <c r="K67" i="1"/>
  <c r="I69" i="1"/>
  <c r="K60" i="1"/>
  <c r="K45" i="1"/>
  <c r="K66" i="1"/>
  <c r="K39" i="1"/>
  <c r="K11" i="1"/>
  <c r="J22" i="1" l="1"/>
  <c r="J23" i="1" l="1"/>
  <c r="J24" i="1" s="1"/>
  <c r="K24" i="1"/>
  <c r="J32" i="1"/>
  <c r="K33" i="1"/>
  <c r="L83" i="1" l="1"/>
  <c r="J33" i="1"/>
  <c r="J40" i="1" s="1"/>
  <c r="K40" i="1"/>
  <c r="J52" i="1"/>
  <c r="K53" i="1"/>
  <c r="J53" i="1" l="1"/>
  <c r="J68" i="1" s="1"/>
  <c r="J69" i="1" s="1"/>
  <c r="J67" i="1"/>
  <c r="L82" i="1"/>
  <c r="K68" i="1"/>
  <c r="K69" i="1" s="1"/>
  <c r="L77" i="1"/>
</calcChain>
</file>

<file path=xl/sharedStrings.xml><?xml version="1.0" encoding="utf-8"?>
<sst xmlns="http://schemas.openxmlformats.org/spreadsheetml/2006/main" count="152" uniqueCount="105">
  <si>
    <t>DEMOCRATIZATION AND HUMAN RIGHTS PROGRAMME IN UKRAINE</t>
  </si>
  <si>
    <t>Year: 2017</t>
  </si>
  <si>
    <t>EXPECTED  OUTPUTS</t>
  </si>
  <si>
    <t>PLANNED ACTIVITIES</t>
  </si>
  <si>
    <t>TIMEFRAME</t>
  </si>
  <si>
    <t>Source of Funding</t>
  </si>
  <si>
    <t>PLANNED BUDGET</t>
  </si>
  <si>
    <t>Baseline associated indicators
and annual targets</t>
  </si>
  <si>
    <t xml:space="preserve">List activity results and associated actions </t>
  </si>
  <si>
    <t>Q1</t>
  </si>
  <si>
    <t>Q2</t>
  </si>
  <si>
    <t>Q3</t>
  </si>
  <si>
    <t>Q4</t>
  </si>
  <si>
    <t>Description</t>
  </si>
  <si>
    <t>Approved budget</t>
  </si>
  <si>
    <t>Revision</t>
  </si>
  <si>
    <t>Revised budget</t>
  </si>
  <si>
    <t>Comments</t>
  </si>
  <si>
    <r>
      <t xml:space="preserve">OUTPUT 1: 00089246
Civil society organizations strengthened to promote democracy and foster participatory and result-driven Government-CSO dialogue in Ukraine
</t>
    </r>
    <r>
      <rPr>
        <sz val="10"/>
        <color indexed="8"/>
        <rFont val="Myriad Pro"/>
        <family val="2"/>
      </rPr>
      <t xml:space="preserve">
</t>
    </r>
    <r>
      <rPr>
        <sz val="11"/>
        <color theme="1"/>
        <rFont val="Calibri"/>
        <family val="2"/>
        <scheme val="minor"/>
      </rPr>
      <t/>
    </r>
  </si>
  <si>
    <t>Activity 1.3. Networking events (seminars and training) for CSOs inside the country and with the CSOs in Belarus and Moldova</t>
  </si>
  <si>
    <t>DMFA</t>
  </si>
  <si>
    <t>71300 Consultants</t>
  </si>
  <si>
    <t>CSD Expert $1470*2 = 2,940.
Cost-shared 50% with 2.1</t>
  </si>
  <si>
    <t>Co-organise the IX international Conference “Social Innovations: New Ways to Solve Old Problems” in Kyiv on February 16th, 2017</t>
  </si>
  <si>
    <t>74200 Printing, Translations</t>
  </si>
  <si>
    <t>Dissemination materials for th4e conference</t>
  </si>
  <si>
    <t>Ensure presentation of UNDP experiences of civil society engagement in social innovation at the conference. Prepare dissemination materials on the subject for wider coverage</t>
  </si>
  <si>
    <t>75700 Trainings and Conferences</t>
  </si>
  <si>
    <t>Co-funding for the conference</t>
  </si>
  <si>
    <t xml:space="preserve">71600 Travel </t>
  </si>
  <si>
    <t>Travel of international experts to the conference</t>
  </si>
  <si>
    <t>75100 Facilities &amp; Administration (8%)</t>
  </si>
  <si>
    <t>Total</t>
  </si>
  <si>
    <r>
      <t xml:space="preserve">Activity 1.4. Advocate for wider and results-driven Government-CSO dialogue - Korean Budget
</t>
    </r>
    <r>
      <rPr>
        <sz val="10"/>
        <color indexed="8"/>
        <rFont val="Myriad Pro"/>
        <family val="2"/>
      </rPr>
      <t>For replication of Clean Construction System in Ukraine.</t>
    </r>
    <r>
      <rPr>
        <b/>
        <sz val="10"/>
        <color indexed="8"/>
        <rFont val="Myriad Pro"/>
        <family val="2"/>
      </rPr>
      <t xml:space="preserve">
</t>
    </r>
  </si>
  <si>
    <t>Korean budget</t>
  </si>
  <si>
    <t>71400 Contractual services  - Individ</t>
  </si>
  <si>
    <t>72600 Grants</t>
  </si>
  <si>
    <t>DHRP-GA-CSD-2016-05 TI Ukraine 2nd (216,000 UAH ) 3rd (54 000 UAH)</t>
  </si>
  <si>
    <t>Activity 1.5. Effective project management</t>
  </si>
  <si>
    <t>Office premises rent</t>
  </si>
  <si>
    <t>Team lead salary + Pr.Asc in Jan incl charges and separation cost 2691 + 2470.03 + $ $501.67 (нехватка в корейских деньгах) = 5994</t>
  </si>
  <si>
    <t>Project Manager (Jan 2017)</t>
  </si>
  <si>
    <t>73400 Vehicle Maintenance Service</t>
  </si>
  <si>
    <t>Project Associate (Jan 2017)</t>
  </si>
  <si>
    <t>73100 Rent &amp; Utilities</t>
  </si>
  <si>
    <t>Actually depends on a number of staff in project - need to discuss and reserve the cost with Olena Karelina</t>
  </si>
  <si>
    <t>Miscellaneous Expenses</t>
  </si>
  <si>
    <t>74500 Miscellaneous Expenses</t>
  </si>
  <si>
    <t>DPC (4%)</t>
  </si>
  <si>
    <t>64300 Staff Mngmt Costs</t>
  </si>
  <si>
    <t>TOTAL OUTPUT 00089246</t>
  </si>
  <si>
    <t>OUTPUT 2: 00089247
Capacities of human rights actors strengthened to promote and defend human rights in Ukraine</t>
  </si>
  <si>
    <t>Activity 2.1.  Institutional support to the selected mid-size regional CSOs through individually tailored capacity development programme</t>
  </si>
  <si>
    <t>71300 Consultants local</t>
  </si>
  <si>
    <t xml:space="preserve"> CSD Expert $1470*2 = 2,940.
Cost-shared 50% with 1.3</t>
  </si>
  <si>
    <t>Adapt the HRBA training package for Ukraine (November-December 2016)</t>
  </si>
  <si>
    <t>Deliver 8 HRBA trainings for at least 160 local CSOs representatives in 8 regions by hubs. Chernihiv hubs is responsible for leading the process (January - February 2017)</t>
  </si>
  <si>
    <t>Grant Center for Civic Liberties DHRP-GA-HR-2016-02 3rd tr final 73,014.00 UAH (2000 USD)</t>
  </si>
  <si>
    <t>The practical guide how to integrate HRBA into CSOs work based on experience of hubs prepared and published. Chernihiv hub is responsible (February-March 2017)</t>
  </si>
  <si>
    <t>HRBA trainings  8w/s * 3000 + 3000 for JFPC</t>
  </si>
  <si>
    <t xml:space="preserve">Strategic planning session for the JfPC in Kyiv, February </t>
  </si>
  <si>
    <t>74200  Audio Visual &amp; Printing Production Costs</t>
  </si>
  <si>
    <t>Printing of HRBA manual</t>
  </si>
  <si>
    <t>Activity 2.4. Support the preparation of shadow reports within the framework of Ukraine’s international human rights commitments</t>
  </si>
  <si>
    <t>71600 Travel</t>
  </si>
  <si>
    <t xml:space="preserve">Support the development and advocacy of the shadow report on Ukraine's compliance with CEDAW (Gender Startegic Platform) in coordination with OO project and UN Women </t>
  </si>
  <si>
    <t>CEDAW meeting in Kyiv (cofee-break)</t>
  </si>
  <si>
    <t>CEDAW meeting in Kyiv (Printing)</t>
  </si>
  <si>
    <t>TOTAL OUTPUT 00089247</t>
  </si>
  <si>
    <t>OUTPUT 3: 00098503
Strengthened HRBA and gender capacities of the DMFA Implementing Partners and their partners in UA, MD and BL</t>
  </si>
  <si>
    <t>Activity 3.2. Conduct the regional study "HRBA in the region –  strategies that work"</t>
  </si>
  <si>
    <t>72100 Contractual services</t>
  </si>
  <si>
    <t>PO 0000031351 Fresno last tranche 1390 USD.</t>
  </si>
  <si>
    <t xml:space="preserve">Make the HRBA study available in Russian. Prepare the layout of the publication. </t>
  </si>
  <si>
    <t>Design and printing, translation</t>
  </si>
  <si>
    <t>Organise the launch  of the study at the Rights Activism conference</t>
  </si>
  <si>
    <t xml:space="preserve">Activity 3.3. Organise the 3-country conference "Rights Activism including improved innovative communication tools and strategies" </t>
  </si>
  <si>
    <t xml:space="preserve">Organise the 3-country conference "Rights Activism including improved innovative communication tools and strategies" to build capacity of the regional Programme partners on the rights activism and provide platform for innovative experience sharing </t>
  </si>
  <si>
    <t>Project Manager (50%)</t>
  </si>
  <si>
    <t>64300 Staff Mngmt Costs (DPC 4%)</t>
  </si>
  <si>
    <t>Activity 3.4. Hold the Theory of Change workshop</t>
  </si>
  <si>
    <t xml:space="preserve">Organise the workshop on Social Impact Measurement as part of the Social Innovation Conference in Kyiv with participation of the CSOs from three countries </t>
  </si>
  <si>
    <t>71200 Consultants international</t>
  </si>
  <si>
    <t>Event coordinator (IC)</t>
  </si>
  <si>
    <t>Activity 3.5. Conduct the 2-country study on "Measuring the Civic Literacy"</t>
  </si>
  <si>
    <t>Launch the results of the regional study at the Forum of Young Leaders in Minsk on 4-5 Match 2017</t>
  </si>
  <si>
    <t>TOTAL OUTPUT 00098503</t>
  </si>
  <si>
    <t>TOTAL AWP 2017</t>
  </si>
  <si>
    <t>DMFA funds</t>
  </si>
  <si>
    <t>Korean funds</t>
  </si>
  <si>
    <t>Средства DMFA 2017 года (3 месяца)</t>
  </si>
  <si>
    <t>Сумма к распределению по региональному компоненту</t>
  </si>
  <si>
    <t>Сумма для распределения по статьям аутпутов 46 и 47</t>
  </si>
  <si>
    <t xml:space="preserve">Team lead per month Feb-Mar:
$2580
$17 pension
$85.08 Cigna Medical insurance
$8.88 Cigna Death &amp; Disability
Total: 2,691 * 2= 5382.00
+ $250.67 - Separation costs in Mar 2017.
Total: $5632,67
Cost-sharing: 
1.4 = $5,131.00
1.5 = $501.67
</t>
  </si>
  <si>
    <t>Кеш регионального компонента 00085903</t>
  </si>
  <si>
    <t>71200  International Consultants</t>
  </si>
  <si>
    <t>DPC regional</t>
  </si>
  <si>
    <t>DPC other</t>
  </si>
  <si>
    <t>Pr.Associate Jan-60%; Feb-March-100%</t>
  </si>
  <si>
    <t>Project Associate (60%)</t>
  </si>
  <si>
    <t>Pr.Lead Jan-50%; Feb-March-30%</t>
  </si>
  <si>
    <t>TOTAL Facilities &amp; Administration (8%)</t>
  </si>
  <si>
    <t>Approved by DCD: Ms. Blerta Cela                                   __________________________________</t>
  </si>
  <si>
    <t>Cleared by Finance Analyst: Ms. Olga Iurlova                 __________________________________</t>
  </si>
  <si>
    <t>Prepared by DHRP Team Lead: Ms. Olena Ursu               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</si>
</sst>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$-409]#,##0"/>
    <numFmt numFmtId="165" formatCode="[$$-409]#,##0.00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Myriad Pro"/>
      <family val="2"/>
    </font>
    <font>
      <sz val="10"/>
      <color theme="1"/>
      <name val="Myriad Pro"/>
      <family val="2"/>
    </font>
    <font>
      <b/>
      <sz val="11"/>
      <color theme="1"/>
      <name val="Myriad Pro"/>
      <family val="2"/>
    </font>
    <font>
      <i/>
      <sz val="10"/>
      <color theme="1"/>
      <name val="Myriad Pro"/>
      <family val="2"/>
    </font>
    <font>
      <sz val="10"/>
      <color indexed="8"/>
      <name val="Myriad Pro"/>
      <family val="2"/>
    </font>
    <font>
      <sz val="10"/>
      <name val="Arial"/>
      <family val="2"/>
      <charset val="204"/>
    </font>
    <font>
      <sz val="10"/>
      <name val="Myriad Pro"/>
      <family val="2"/>
    </font>
    <font>
      <b/>
      <sz val="10"/>
      <color indexed="8"/>
      <name val="Myriad Pro"/>
      <family val="2"/>
    </font>
    <font>
      <b/>
      <sz val="10"/>
      <name val="Myriad Pro"/>
      <family val="2"/>
    </font>
    <font>
      <sz val="10"/>
      <color indexed="8"/>
      <name val="Arial"/>
      <family val="2"/>
      <charset val="204"/>
    </font>
    <font>
      <sz val="10"/>
      <color rgb="FF00B050"/>
      <name val="Myriad Pro"/>
      <family val="2"/>
    </font>
    <font>
      <b/>
      <sz val="11"/>
      <name val="Myriad Pro"/>
      <family val="2"/>
    </font>
    <font>
      <b/>
      <sz val="11"/>
      <color indexed="8"/>
      <name val="Myriad Pro"/>
      <family val="2"/>
    </font>
    <font>
      <sz val="11"/>
      <name val="Myriad Pro"/>
      <family val="2"/>
    </font>
    <font>
      <sz val="11"/>
      <color indexed="8"/>
      <name val="Myriad Pro"/>
      <family val="2"/>
    </font>
    <font>
      <b/>
      <sz val="12"/>
      <color theme="1"/>
      <name val="Myriad Pro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>
      <alignment vertical="top"/>
    </xf>
  </cellStyleXfs>
  <cellXfs count="18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/>
    <xf numFmtId="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top"/>
    </xf>
    <xf numFmtId="0" fontId="1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top" wrapText="1"/>
    </xf>
    <xf numFmtId="0" fontId="2" fillId="4" borderId="7" xfId="0" applyFont="1" applyFill="1" applyBorder="1" applyAlignment="1"/>
    <xf numFmtId="0" fontId="2" fillId="2" borderId="7" xfId="0" applyFont="1" applyFill="1" applyBorder="1" applyAlignment="1">
      <alignment horizontal="left" vertical="center" wrapText="1"/>
    </xf>
    <xf numFmtId="3" fontId="2" fillId="2" borderId="8" xfId="0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left" vertical="top"/>
    </xf>
    <xf numFmtId="0" fontId="2" fillId="0" borderId="7" xfId="1" applyFont="1" applyFill="1" applyBorder="1" applyAlignment="1">
      <alignment vertical="center" wrapText="1"/>
    </xf>
    <xf numFmtId="1" fontId="5" fillId="0" borderId="8" xfId="1" applyNumberFormat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vertical="top"/>
    </xf>
    <xf numFmtId="0" fontId="1" fillId="5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top" wrapText="1"/>
    </xf>
    <xf numFmtId="0" fontId="2" fillId="4" borderId="19" xfId="0" applyFont="1" applyFill="1" applyBorder="1" applyAlignment="1"/>
    <xf numFmtId="0" fontId="2" fillId="0" borderId="19" xfId="0" applyFont="1" applyFill="1" applyBorder="1" applyAlignment="1"/>
    <xf numFmtId="0" fontId="2" fillId="0" borderId="19" xfId="0" applyFont="1" applyFill="1" applyBorder="1" applyAlignment="1">
      <alignment vertical="center" wrapText="1"/>
    </xf>
    <xf numFmtId="3" fontId="2" fillId="2" borderId="21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wrapText="1"/>
    </xf>
    <xf numFmtId="0" fontId="2" fillId="0" borderId="7" xfId="0" applyFont="1" applyFill="1" applyBorder="1" applyAlignment="1"/>
    <xf numFmtId="3" fontId="2" fillId="0" borderId="8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/>
    <xf numFmtId="0" fontId="3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vertical="center" wrapText="1"/>
    </xf>
    <xf numFmtId="0" fontId="1" fillId="5" borderId="22" xfId="0" applyFont="1" applyFill="1" applyBorder="1" applyAlignment="1">
      <alignment horizontal="left" vertical="center"/>
    </xf>
    <xf numFmtId="3" fontId="2" fillId="0" borderId="21" xfId="0" applyNumberFormat="1" applyFont="1" applyFill="1" applyBorder="1" applyAlignment="1">
      <alignment horizontal="left" vertical="top" wrapText="1"/>
    </xf>
    <xf numFmtId="0" fontId="2" fillId="0" borderId="0" xfId="0" applyFont="1" applyFill="1"/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/>
    <xf numFmtId="3" fontId="2" fillId="5" borderId="8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6" xfId="0" applyFont="1" applyFill="1" applyBorder="1"/>
    <xf numFmtId="0" fontId="2" fillId="2" borderId="19" xfId="0" applyFont="1" applyFill="1" applyBorder="1" applyAlignment="1">
      <alignment vertical="center" wrapText="1"/>
    </xf>
    <xf numFmtId="0" fontId="2" fillId="7" borderId="0" xfId="0" applyFont="1" applyFill="1"/>
    <xf numFmtId="0" fontId="7" fillId="0" borderId="0" xfId="0" applyFont="1" applyBorder="1"/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left" vertical="top"/>
    </xf>
    <xf numFmtId="4" fontId="7" fillId="0" borderId="0" xfId="0" applyNumberFormat="1" applyFont="1" applyBorder="1"/>
    <xf numFmtId="164" fontId="15" fillId="6" borderId="0" xfId="0" applyNumberFormat="1" applyFont="1" applyFill="1" applyBorder="1" applyAlignment="1">
      <alignment horizontal="left" vertical="center"/>
    </xf>
    <xf numFmtId="0" fontId="15" fillId="6" borderId="0" xfId="0" applyFont="1" applyFill="1" applyBorder="1" applyAlignment="1">
      <alignment horizontal="left" vertical="center"/>
    </xf>
    <xf numFmtId="2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left"/>
    </xf>
    <xf numFmtId="0" fontId="2" fillId="0" borderId="0" xfId="0" applyFont="1" applyBorder="1"/>
    <xf numFmtId="164" fontId="15" fillId="0" borderId="29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165" fontId="7" fillId="0" borderId="0" xfId="0" applyNumberFormat="1" applyFont="1" applyBorder="1"/>
    <xf numFmtId="0" fontId="7" fillId="0" borderId="7" xfId="0" applyFont="1" applyFill="1" applyBorder="1" applyAlignment="1">
      <alignment horizontal="left" vertical="center" wrapText="1"/>
    </xf>
    <xf numFmtId="0" fontId="7" fillId="0" borderId="7" xfId="1" applyFont="1" applyFill="1" applyBorder="1" applyAlignment="1">
      <alignment vertical="top"/>
    </xf>
    <xf numFmtId="0" fontId="7" fillId="0" borderId="7" xfId="1" applyFont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horizontal="left" vertical="top" wrapText="1"/>
    </xf>
    <xf numFmtId="0" fontId="7" fillId="4" borderId="7" xfId="0" applyFont="1" applyFill="1" applyBorder="1" applyAlignment="1"/>
    <xf numFmtId="0" fontId="7" fillId="0" borderId="19" xfId="0" applyFont="1" applyFill="1" applyBorder="1"/>
    <xf numFmtId="0" fontId="7" fillId="0" borderId="19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/>
    <xf numFmtId="0" fontId="7" fillId="0" borderId="7" xfId="1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1" fillId="5" borderId="16" xfId="0" applyFont="1" applyFill="1" applyBorder="1" applyAlignment="1">
      <alignment horizontal="left" vertical="center" wrapText="1"/>
    </xf>
    <xf numFmtId="0" fontId="1" fillId="5" borderId="1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vertical="top" wrapText="1"/>
    </xf>
    <xf numFmtId="0" fontId="2" fillId="0" borderId="19" xfId="1" applyFont="1" applyFill="1" applyBorder="1" applyAlignment="1">
      <alignment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4" fontId="2" fillId="3" borderId="33" xfId="0" applyNumberFormat="1" applyFont="1" applyFill="1" applyBorder="1" applyAlignment="1">
      <alignment horizontal="center" vertical="center" wrapText="1"/>
    </xf>
    <xf numFmtId="4" fontId="2" fillId="3" borderId="35" xfId="0" applyNumberFormat="1" applyFont="1" applyFill="1" applyBorder="1" applyAlignment="1">
      <alignment horizontal="left" vertical="center" wrapText="1"/>
    </xf>
    <xf numFmtId="4" fontId="2" fillId="0" borderId="0" xfId="0" applyNumberFormat="1" applyFont="1" applyAlignment="1">
      <alignment horizontal="center"/>
    </xf>
    <xf numFmtId="4" fontId="2" fillId="2" borderId="19" xfId="0" applyNumberFormat="1" applyFont="1" applyFill="1" applyBorder="1" applyAlignment="1">
      <alignment horizontal="center" vertical="center"/>
    </xf>
    <xf numFmtId="4" fontId="2" fillId="2" borderId="19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0" borderId="7" xfId="1" applyNumberFormat="1" applyFont="1" applyFill="1" applyBorder="1" applyAlignment="1">
      <alignment horizontal="center" vertical="center"/>
    </xf>
    <xf numFmtId="4" fontId="1" fillId="5" borderId="7" xfId="0" applyNumberFormat="1" applyFont="1" applyFill="1" applyBorder="1" applyAlignment="1">
      <alignment horizontal="center" vertical="center" wrapText="1"/>
    </xf>
    <xf numFmtId="4" fontId="7" fillId="0" borderId="7" xfId="0" applyNumberFormat="1" applyFont="1" applyFill="1" applyBorder="1" applyAlignment="1">
      <alignment horizontal="center" vertical="center" wrapText="1"/>
    </xf>
    <xf numFmtId="4" fontId="9" fillId="5" borderId="7" xfId="0" applyNumberFormat="1" applyFont="1" applyFill="1" applyBorder="1" applyAlignment="1">
      <alignment horizontal="center" vertical="center" wrapText="1"/>
    </xf>
    <xf numFmtId="4" fontId="5" fillId="0" borderId="7" xfId="2" applyNumberFormat="1" applyFont="1" applyFill="1" applyBorder="1" applyAlignment="1">
      <alignment horizontal="center" vertical="center"/>
    </xf>
    <xf numFmtId="4" fontId="5" fillId="0" borderId="7" xfId="1" applyNumberFormat="1" applyFont="1" applyFill="1" applyBorder="1" applyAlignment="1">
      <alignment horizontal="center" vertical="center"/>
    </xf>
    <xf numFmtId="4" fontId="7" fillId="2" borderId="7" xfId="0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center" vertical="center"/>
    </xf>
    <xf numFmtId="4" fontId="9" fillId="5" borderId="11" xfId="0" applyNumberFormat="1" applyFont="1" applyFill="1" applyBorder="1" applyAlignment="1">
      <alignment horizontal="center" vertical="center" wrapText="1"/>
    </xf>
    <xf numFmtId="4" fontId="1" fillId="5" borderId="17" xfId="0" applyNumberFormat="1" applyFont="1" applyFill="1" applyBorder="1" applyAlignment="1">
      <alignment horizontal="center" vertical="center"/>
    </xf>
    <xf numFmtId="4" fontId="2" fillId="0" borderId="19" xfId="0" applyNumberFormat="1" applyFont="1" applyFill="1" applyBorder="1" applyAlignment="1">
      <alignment horizontal="center" vertical="center"/>
    </xf>
    <xf numFmtId="4" fontId="2" fillId="0" borderId="7" xfId="0" applyNumberFormat="1" applyFont="1" applyFill="1" applyBorder="1" applyAlignment="1">
      <alignment horizontal="center" vertical="center"/>
    </xf>
    <xf numFmtId="4" fontId="7" fillId="0" borderId="7" xfId="0" applyNumberFormat="1" applyFont="1" applyFill="1" applyBorder="1" applyAlignment="1">
      <alignment horizontal="center" vertical="center"/>
    </xf>
    <xf numFmtId="4" fontId="7" fillId="0" borderId="19" xfId="0" applyNumberFormat="1" applyFont="1" applyFill="1" applyBorder="1" applyAlignment="1">
      <alignment horizontal="center" vertical="center"/>
    </xf>
    <xf numFmtId="4" fontId="9" fillId="5" borderId="7" xfId="0" applyNumberFormat="1" applyFont="1" applyFill="1" applyBorder="1" applyAlignment="1">
      <alignment horizontal="center" vertical="center"/>
    </xf>
    <xf numFmtId="4" fontId="1" fillId="5" borderId="7" xfId="0" applyNumberFormat="1" applyFont="1" applyFill="1" applyBorder="1" applyAlignment="1">
      <alignment horizontal="center" vertical="center"/>
    </xf>
    <xf numFmtId="4" fontId="9" fillId="5" borderId="17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vertical="top"/>
    </xf>
    <xf numFmtId="164" fontId="12" fillId="0" borderId="0" xfId="0" applyNumberFormat="1" applyFont="1" applyBorder="1" applyAlignment="1">
      <alignment horizontal="center" vertical="top"/>
    </xf>
    <xf numFmtId="0" fontId="13" fillId="0" borderId="0" xfId="0" applyFont="1" applyBorder="1" applyAlignment="1">
      <alignment horizontal="center" vertical="top"/>
    </xf>
    <xf numFmtId="164" fontId="13" fillId="0" borderId="0" xfId="0" applyNumberFormat="1" applyFont="1" applyBorder="1" applyAlignment="1">
      <alignment horizontal="center" vertical="top"/>
    </xf>
    <xf numFmtId="4" fontId="13" fillId="0" borderId="0" xfId="0" applyNumberFormat="1" applyFont="1" applyBorder="1" applyAlignment="1">
      <alignment horizontal="center" vertical="top"/>
    </xf>
    <xf numFmtId="4" fontId="14" fillId="0" borderId="28" xfId="0" applyNumberFormat="1" applyFont="1" applyBorder="1" applyAlignment="1">
      <alignment horizontal="center" vertical="center"/>
    </xf>
    <xf numFmtId="165" fontId="13" fillId="0" borderId="0" xfId="0" applyNumberFormat="1" applyFont="1" applyBorder="1" applyAlignment="1">
      <alignment horizontal="center" vertical="top"/>
    </xf>
    <xf numFmtId="4" fontId="14" fillId="6" borderId="0" xfId="0" applyNumberFormat="1" applyFont="1" applyFill="1" applyBorder="1" applyAlignment="1">
      <alignment horizontal="center" vertical="center"/>
    </xf>
    <xf numFmtId="4" fontId="7" fillId="6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3" fontId="7" fillId="0" borderId="8" xfId="0" applyNumberFormat="1" applyFont="1" applyFill="1" applyBorder="1" applyAlignment="1">
      <alignment horizontal="left" vertical="center" wrapText="1"/>
    </xf>
    <xf numFmtId="3" fontId="7" fillId="5" borderId="8" xfId="0" applyNumberFormat="1" applyFont="1" applyFill="1" applyBorder="1" applyAlignment="1">
      <alignment horizontal="left" vertical="center" wrapText="1"/>
    </xf>
    <xf numFmtId="1" fontId="7" fillId="0" borderId="8" xfId="1" applyNumberFormat="1" applyFont="1" applyFill="1" applyBorder="1" applyAlignment="1">
      <alignment horizontal="left" vertical="top" wrapText="1"/>
    </xf>
    <xf numFmtId="3" fontId="7" fillId="5" borderId="14" xfId="0" applyNumberFormat="1" applyFont="1" applyFill="1" applyBorder="1" applyAlignment="1">
      <alignment horizontal="left" vertical="center" wrapText="1"/>
    </xf>
    <xf numFmtId="3" fontId="2" fillId="5" borderId="18" xfId="0" applyNumberFormat="1" applyFont="1" applyFill="1" applyBorder="1" applyAlignment="1">
      <alignment horizontal="left" vertical="center" wrapText="1"/>
    </xf>
    <xf numFmtId="4" fontId="2" fillId="5" borderId="7" xfId="0" applyNumberFormat="1" applyFont="1" applyFill="1" applyBorder="1" applyAlignment="1">
      <alignment horizontal="right" vertical="center"/>
    </xf>
    <xf numFmtId="3" fontId="7" fillId="5" borderId="18" xfId="0" applyNumberFormat="1" applyFont="1" applyFill="1" applyBorder="1" applyAlignment="1">
      <alignment horizontal="left" vertical="center" wrapText="1"/>
    </xf>
    <xf numFmtId="164" fontId="15" fillId="0" borderId="25" xfId="0" applyNumberFormat="1" applyFont="1" applyBorder="1" applyAlignment="1">
      <alignment horizontal="left" vertical="top"/>
    </xf>
    <xf numFmtId="164" fontId="15" fillId="0" borderId="26" xfId="0" applyNumberFormat="1" applyFont="1" applyBorder="1" applyAlignment="1">
      <alignment horizontal="left" vertical="top"/>
    </xf>
    <xf numFmtId="164" fontId="15" fillId="0" borderId="27" xfId="0" applyNumberFormat="1" applyFont="1" applyBorder="1" applyAlignment="1">
      <alignment horizontal="left" vertical="top"/>
    </xf>
    <xf numFmtId="164" fontId="15" fillId="0" borderId="0" xfId="0" applyNumberFormat="1" applyFont="1" applyBorder="1" applyAlignment="1">
      <alignment horizontal="left" vertical="top"/>
    </xf>
    <xf numFmtId="0" fontId="7" fillId="0" borderId="8" xfId="0" applyFont="1" applyFill="1" applyBorder="1" applyAlignment="1">
      <alignment horizontal="left" vertical="center" wrapText="1"/>
    </xf>
    <xf numFmtId="0" fontId="1" fillId="5" borderId="24" xfId="0" applyFont="1" applyFill="1" applyBorder="1" applyAlignment="1">
      <alignment horizontal="left" vertical="top" wrapText="1"/>
    </xf>
    <xf numFmtId="4" fontId="1" fillId="5" borderId="11" xfId="0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/>
    <xf numFmtId="0" fontId="5" fillId="0" borderId="0" xfId="0" applyFont="1" applyFill="1" applyBorder="1" applyAlignment="1">
      <alignment vertical="top"/>
    </xf>
    <xf numFmtId="4" fontId="7" fillId="0" borderId="0" xfId="0" applyNumberFormat="1" applyFont="1" applyFill="1" applyBorder="1"/>
    <xf numFmtId="0" fontId="2" fillId="0" borderId="7" xfId="0" applyFont="1" applyBorder="1" applyAlignment="1">
      <alignment wrapText="1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5" borderId="6" xfId="0" applyFont="1" applyFill="1" applyBorder="1" applyAlignment="1">
      <alignment horizontal="left"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1" fillId="5" borderId="9" xfId="0" applyFont="1" applyFill="1" applyBorder="1" applyAlignment="1">
      <alignment horizontal="left" vertical="center" wrapText="1"/>
    </xf>
    <xf numFmtId="0" fontId="1" fillId="5" borderId="11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9" xfId="0" applyFont="1" applyFill="1" applyBorder="1" applyAlignment="1">
      <alignment wrapText="1"/>
    </xf>
    <xf numFmtId="0" fontId="2" fillId="0" borderId="7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center" wrapText="1"/>
    </xf>
    <xf numFmtId="0" fontId="2" fillId="0" borderId="13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24" xfId="0" applyFont="1" applyFill="1" applyBorder="1" applyAlignment="1">
      <alignment horizontal="left" vertical="top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left" vertical="center" wrapText="1"/>
    </xf>
    <xf numFmtId="0" fontId="1" fillId="5" borderId="17" xfId="0" applyFont="1" applyFill="1" applyBorder="1" applyAlignment="1">
      <alignment horizontal="left" vertical="center" wrapText="1"/>
    </xf>
    <xf numFmtId="4" fontId="7" fillId="0" borderId="7" xfId="0" applyNumberFormat="1" applyFont="1" applyFill="1" applyBorder="1" applyAlignment="1">
      <alignment horizontal="center" vertical="center" wrapText="1"/>
    </xf>
    <xf numFmtId="4" fontId="7" fillId="0" borderId="11" xfId="0" applyNumberFormat="1" applyFont="1" applyFill="1" applyBorder="1" applyAlignment="1">
      <alignment horizontal="center" vertical="center" wrapText="1"/>
    </xf>
    <xf numFmtId="4" fontId="7" fillId="0" borderId="19" xfId="0" applyNumberFormat="1" applyFont="1" applyFill="1" applyBorder="1" applyAlignment="1">
      <alignment horizontal="center" vertical="center" wrapText="1"/>
    </xf>
    <xf numFmtId="4" fontId="7" fillId="0" borderId="11" xfId="0" applyNumberFormat="1" applyFont="1" applyFill="1" applyBorder="1" applyAlignment="1">
      <alignment horizontal="center" vertical="center"/>
    </xf>
    <xf numFmtId="4" fontId="7" fillId="0" borderId="19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4" xfId="1"/>
    <cellStyle name="Normal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"/>
  <sheetViews>
    <sheetView tabSelected="1" view="pageBreakPreview" topLeftCell="A54" zoomScale="80" zoomScaleNormal="85" zoomScaleSheetLayoutView="80" workbookViewId="0">
      <selection activeCell="K62" sqref="K62"/>
    </sheetView>
  </sheetViews>
  <sheetFormatPr defaultRowHeight="12.75" x14ac:dyDescent="0.2"/>
  <cols>
    <col min="1" max="1" width="26.85546875" style="1" customWidth="1"/>
    <col min="2" max="2" width="57.42578125" style="3" customWidth="1"/>
    <col min="3" max="5" width="4.140625" style="1" customWidth="1"/>
    <col min="6" max="6" width="4.28515625" style="1" customWidth="1"/>
    <col min="7" max="7" width="10.140625" style="1" customWidth="1"/>
    <col min="8" max="8" width="35.5703125" style="1" customWidth="1"/>
    <col min="9" max="11" width="13.5703125" style="76" customWidth="1"/>
    <col min="12" max="12" width="33.5703125" style="4" customWidth="1"/>
    <col min="13" max="13" width="10.5703125" style="1" bestFit="1" customWidth="1"/>
    <col min="14" max="16384" width="9.140625" style="1"/>
  </cols>
  <sheetData>
    <row r="1" spans="1:12" x14ac:dyDescent="0.2">
      <c r="A1" s="133"/>
      <c r="B1" s="133"/>
      <c r="C1" s="133"/>
      <c r="D1" s="133"/>
      <c r="E1" s="133"/>
      <c r="F1" s="133"/>
      <c r="G1" s="133"/>
      <c r="H1" s="133"/>
      <c r="I1" s="133"/>
      <c r="J1" s="50"/>
      <c r="K1" s="50"/>
      <c r="L1" s="109"/>
    </row>
    <row r="2" spans="1:12" ht="15.75" x14ac:dyDescent="0.25">
      <c r="A2" s="132" t="s">
        <v>0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</row>
    <row r="3" spans="1:12" ht="15.75" thickBot="1" x14ac:dyDescent="0.3">
      <c r="A3" s="2" t="s">
        <v>1</v>
      </c>
    </row>
    <row r="4" spans="1:12" ht="25.5" customHeight="1" x14ac:dyDescent="0.2">
      <c r="A4" s="6" t="s">
        <v>2</v>
      </c>
      <c r="B4" s="51" t="s">
        <v>3</v>
      </c>
      <c r="C4" s="134" t="s">
        <v>4</v>
      </c>
      <c r="D4" s="134"/>
      <c r="E4" s="134"/>
      <c r="F4" s="134"/>
      <c r="G4" s="135" t="s">
        <v>5</v>
      </c>
      <c r="H4" s="137" t="s">
        <v>6</v>
      </c>
      <c r="I4" s="138"/>
      <c r="J4" s="138"/>
      <c r="K4" s="138"/>
      <c r="L4" s="139"/>
    </row>
    <row r="5" spans="1:12" ht="46.5" customHeight="1" thickBot="1" x14ac:dyDescent="0.25">
      <c r="A5" s="7" t="s">
        <v>7</v>
      </c>
      <c r="B5" s="72" t="s">
        <v>8</v>
      </c>
      <c r="C5" s="73" t="s">
        <v>9</v>
      </c>
      <c r="D5" s="73" t="s">
        <v>10</v>
      </c>
      <c r="E5" s="73" t="s">
        <v>11</v>
      </c>
      <c r="F5" s="73" t="s">
        <v>12</v>
      </c>
      <c r="G5" s="136"/>
      <c r="H5" s="73" t="s">
        <v>13</v>
      </c>
      <c r="I5" s="74" t="s">
        <v>14</v>
      </c>
      <c r="J5" s="74" t="s">
        <v>15</v>
      </c>
      <c r="K5" s="74" t="s">
        <v>16</v>
      </c>
      <c r="L5" s="75" t="s">
        <v>17</v>
      </c>
    </row>
    <row r="6" spans="1:12" s="3" customFormat="1" ht="27" customHeight="1" x14ac:dyDescent="0.2">
      <c r="A6" s="153" t="s">
        <v>18</v>
      </c>
      <c r="B6" s="70" t="s">
        <v>19</v>
      </c>
      <c r="C6" s="19"/>
      <c r="D6" s="155"/>
      <c r="E6" s="155"/>
      <c r="F6" s="155"/>
      <c r="G6" s="157" t="s">
        <v>20</v>
      </c>
      <c r="H6" s="71" t="s">
        <v>21</v>
      </c>
      <c r="I6" s="77">
        <v>0</v>
      </c>
      <c r="J6" s="78">
        <v>1470</v>
      </c>
      <c r="K6" s="78">
        <f>I6+J6</f>
        <v>1470</v>
      </c>
      <c r="L6" s="22" t="s">
        <v>22</v>
      </c>
    </row>
    <row r="7" spans="1:12" s="3" customFormat="1" ht="30" customHeight="1" x14ac:dyDescent="0.2">
      <c r="A7" s="153"/>
      <c r="B7" s="8" t="s">
        <v>23</v>
      </c>
      <c r="C7" s="9"/>
      <c r="D7" s="156"/>
      <c r="E7" s="156"/>
      <c r="F7" s="156"/>
      <c r="G7" s="158"/>
      <c r="H7" s="10" t="s">
        <v>24</v>
      </c>
      <c r="I7" s="79">
        <v>1500</v>
      </c>
      <c r="J7" s="79">
        <v>0</v>
      </c>
      <c r="K7" s="79">
        <f>I7+J7</f>
        <v>1500</v>
      </c>
      <c r="L7" s="11" t="s">
        <v>25</v>
      </c>
    </row>
    <row r="8" spans="1:12" s="3" customFormat="1" ht="16.5" customHeight="1" x14ac:dyDescent="0.2">
      <c r="A8" s="153"/>
      <c r="B8" s="160" t="s">
        <v>26</v>
      </c>
      <c r="C8" s="9"/>
      <c r="D8" s="131"/>
      <c r="E8" s="131"/>
      <c r="F8" s="131"/>
      <c r="G8" s="159"/>
      <c r="H8" s="10" t="s">
        <v>27</v>
      </c>
      <c r="I8" s="79">
        <v>2000</v>
      </c>
      <c r="J8" s="79">
        <v>2000</v>
      </c>
      <c r="K8" s="79">
        <f>I8+J8</f>
        <v>4000</v>
      </c>
      <c r="L8" s="11" t="s">
        <v>28</v>
      </c>
    </row>
    <row r="9" spans="1:12" s="3" customFormat="1" ht="30" customHeight="1" x14ac:dyDescent="0.2">
      <c r="A9" s="153"/>
      <c r="B9" s="161"/>
      <c r="C9" s="9"/>
      <c r="D9" s="131"/>
      <c r="E9" s="131"/>
      <c r="F9" s="131"/>
      <c r="G9" s="159"/>
      <c r="H9" s="12" t="s">
        <v>29</v>
      </c>
      <c r="I9" s="79">
        <v>0</v>
      </c>
      <c r="J9" s="79">
        <v>5000</v>
      </c>
      <c r="K9" s="79">
        <f>I9+J9</f>
        <v>5000</v>
      </c>
      <c r="L9" s="11" t="s">
        <v>30</v>
      </c>
    </row>
    <row r="10" spans="1:12" s="3" customFormat="1" ht="18.75" customHeight="1" x14ac:dyDescent="0.2">
      <c r="A10" s="154"/>
      <c r="B10" s="8"/>
      <c r="C10" s="9"/>
      <c r="D10" s="131"/>
      <c r="E10" s="131"/>
      <c r="F10" s="131"/>
      <c r="G10" s="159"/>
      <c r="H10" s="67" t="s">
        <v>31</v>
      </c>
      <c r="I10" s="80">
        <f>SUM(I6:I9)*0.07</f>
        <v>245.00000000000003</v>
      </c>
      <c r="J10" s="79">
        <f>K10-I10</f>
        <v>712.6</v>
      </c>
      <c r="K10" s="79">
        <f>SUM(K6:K9)*0.08</f>
        <v>957.6</v>
      </c>
      <c r="L10" s="11"/>
    </row>
    <row r="11" spans="1:12" s="3" customFormat="1" ht="17.25" customHeight="1" x14ac:dyDescent="0.2">
      <c r="A11" s="154"/>
      <c r="B11" s="145" t="s">
        <v>32</v>
      </c>
      <c r="C11" s="146"/>
      <c r="D11" s="146"/>
      <c r="E11" s="146"/>
      <c r="F11" s="146"/>
      <c r="G11" s="146"/>
      <c r="H11" s="146"/>
      <c r="I11" s="81">
        <f>SUM(I6:I10)</f>
        <v>3745</v>
      </c>
      <c r="J11" s="81">
        <f>SUM(J6:J10)</f>
        <v>9182.6</v>
      </c>
      <c r="K11" s="81">
        <f>SUM(K6:K10)</f>
        <v>12927.6</v>
      </c>
      <c r="L11" s="34"/>
    </row>
    <row r="12" spans="1:12" s="5" customFormat="1" ht="31.5" customHeight="1" x14ac:dyDescent="0.2">
      <c r="A12" s="154"/>
      <c r="B12" s="162" t="s">
        <v>33</v>
      </c>
      <c r="C12" s="9"/>
      <c r="D12" s="164"/>
      <c r="E12" s="164"/>
      <c r="F12" s="164"/>
      <c r="G12" s="166" t="s">
        <v>34</v>
      </c>
      <c r="H12" s="53" t="s">
        <v>35</v>
      </c>
      <c r="I12" s="82">
        <v>2756</v>
      </c>
      <c r="J12" s="82">
        <f>K12-I12</f>
        <v>1398.6749999999993</v>
      </c>
      <c r="K12" s="82">
        <f>2238.53*0.1+2807.73*0.7*2</f>
        <v>4154.6749999999993</v>
      </c>
      <c r="L12" s="110" t="s">
        <v>93</v>
      </c>
    </row>
    <row r="13" spans="1:12" s="5" customFormat="1" ht="31.5" customHeight="1" x14ac:dyDescent="0.2">
      <c r="A13" s="154"/>
      <c r="B13" s="163"/>
      <c r="C13" s="9"/>
      <c r="D13" s="165"/>
      <c r="E13" s="165"/>
      <c r="F13" s="165"/>
      <c r="G13" s="167"/>
      <c r="H13" s="53" t="s">
        <v>24</v>
      </c>
      <c r="I13" s="82">
        <v>0</v>
      </c>
      <c r="J13" s="82">
        <v>976.32</v>
      </c>
      <c r="K13" s="82">
        <f>I13+J13</f>
        <v>976.32</v>
      </c>
      <c r="L13" s="25"/>
    </row>
    <row r="14" spans="1:12" s="5" customFormat="1" ht="31.5" customHeight="1" x14ac:dyDescent="0.2">
      <c r="A14" s="154"/>
      <c r="B14" s="163"/>
      <c r="C14" s="9"/>
      <c r="D14" s="165"/>
      <c r="E14" s="165"/>
      <c r="F14" s="165"/>
      <c r="G14" s="167"/>
      <c r="H14" s="10" t="s">
        <v>36</v>
      </c>
      <c r="I14" s="79">
        <v>10000</v>
      </c>
      <c r="J14" s="79">
        <v>0</v>
      </c>
      <c r="K14" s="79">
        <f>I14+J14</f>
        <v>10000</v>
      </c>
      <c r="L14" s="11" t="s">
        <v>37</v>
      </c>
    </row>
    <row r="15" spans="1:12" s="5" customFormat="1" ht="20.25" customHeight="1" x14ac:dyDescent="0.25">
      <c r="A15" s="154"/>
      <c r="B15" s="145" t="s">
        <v>32</v>
      </c>
      <c r="C15" s="146"/>
      <c r="D15" s="146"/>
      <c r="E15" s="146"/>
      <c r="F15" s="146"/>
      <c r="G15" s="146"/>
      <c r="H15" s="146"/>
      <c r="I15" s="83">
        <f>SUM(I12:I14)</f>
        <v>12756</v>
      </c>
      <c r="J15" s="83">
        <f>SUM(J12:J14)</f>
        <v>2374.9949999999994</v>
      </c>
      <c r="K15" s="83">
        <f>SUM(K12:K14)</f>
        <v>15130.994999999999</v>
      </c>
      <c r="L15" s="111"/>
    </row>
    <row r="16" spans="1:12" s="5" customFormat="1" ht="18" customHeight="1" x14ac:dyDescent="0.2">
      <c r="A16" s="154"/>
      <c r="B16" s="13" t="s">
        <v>38</v>
      </c>
      <c r="C16" s="9"/>
      <c r="D16" s="131"/>
      <c r="E16" s="131"/>
      <c r="F16" s="131"/>
      <c r="G16" s="131"/>
      <c r="H16" s="14" t="s">
        <v>95</v>
      </c>
      <c r="I16" s="84">
        <v>18000</v>
      </c>
      <c r="J16" s="84">
        <v>-8000</v>
      </c>
      <c r="K16" s="84">
        <f>I16+J16</f>
        <v>10000</v>
      </c>
      <c r="L16" s="15"/>
    </row>
    <row r="17" spans="1:12" s="5" customFormat="1" ht="15.75" customHeight="1" x14ac:dyDescent="0.2">
      <c r="A17" s="154"/>
      <c r="B17" s="8" t="s">
        <v>39</v>
      </c>
      <c r="C17" s="9"/>
      <c r="D17" s="131"/>
      <c r="E17" s="131"/>
      <c r="F17" s="131"/>
      <c r="G17" s="131"/>
      <c r="H17" s="63" t="s">
        <v>35</v>
      </c>
      <c r="I17" s="87">
        <v>10601.4</v>
      </c>
      <c r="J17" s="87">
        <f>-(I17-K17)</f>
        <v>-9329.9079999999994</v>
      </c>
      <c r="K17" s="87">
        <f>2238.53*0.15+3742.85*0.25</f>
        <v>1271.492</v>
      </c>
      <c r="L17" s="112" t="s">
        <v>40</v>
      </c>
    </row>
    <row r="18" spans="1:12" s="5" customFormat="1" ht="15.75" customHeight="1" x14ac:dyDescent="0.2">
      <c r="A18" s="154"/>
      <c r="B18" s="8" t="s">
        <v>41</v>
      </c>
      <c r="C18" s="9"/>
      <c r="D18" s="131"/>
      <c r="E18" s="131"/>
      <c r="F18" s="131"/>
      <c r="G18" s="131"/>
      <c r="H18" s="14" t="s">
        <v>42</v>
      </c>
      <c r="I18" s="85">
        <v>500</v>
      </c>
      <c r="J18" s="85">
        <v>-500</v>
      </c>
      <c r="K18" s="85">
        <f>I18+J18</f>
        <v>0</v>
      </c>
      <c r="L18" s="15"/>
    </row>
    <row r="19" spans="1:12" s="5" customFormat="1" ht="15.75" customHeight="1" x14ac:dyDescent="0.2">
      <c r="A19" s="154"/>
      <c r="B19" s="8" t="s">
        <v>43</v>
      </c>
      <c r="C19" s="9"/>
      <c r="D19" s="131"/>
      <c r="E19" s="131"/>
      <c r="F19" s="131"/>
      <c r="G19" s="131"/>
      <c r="H19" s="14" t="s">
        <v>44</v>
      </c>
      <c r="I19" s="85">
        <v>5943</v>
      </c>
      <c r="J19" s="85">
        <v>921.5</v>
      </c>
      <c r="K19" s="85">
        <f>I19+J19</f>
        <v>6864.5</v>
      </c>
      <c r="L19" s="15" t="s">
        <v>45</v>
      </c>
    </row>
    <row r="20" spans="1:12" s="5" customFormat="1" ht="15.75" customHeight="1" x14ac:dyDescent="0.2">
      <c r="A20" s="154"/>
      <c r="B20" s="8" t="s">
        <v>46</v>
      </c>
      <c r="C20" s="9"/>
      <c r="D20" s="131"/>
      <c r="E20" s="131"/>
      <c r="F20" s="131"/>
      <c r="G20" s="131"/>
      <c r="H20" s="14" t="s">
        <v>47</v>
      </c>
      <c r="I20" s="85">
        <v>600</v>
      </c>
      <c r="J20" s="85">
        <v>0</v>
      </c>
      <c r="K20" s="85">
        <f>I20+J20</f>
        <v>600</v>
      </c>
      <c r="L20" s="15"/>
    </row>
    <row r="21" spans="1:12" s="5" customFormat="1" ht="15.75" customHeight="1" x14ac:dyDescent="0.2">
      <c r="A21" s="154"/>
      <c r="B21" s="8" t="s">
        <v>48</v>
      </c>
      <c r="C21" s="9"/>
      <c r="D21" s="131"/>
      <c r="E21" s="131"/>
      <c r="F21" s="131"/>
      <c r="G21" s="131"/>
      <c r="H21" s="54" t="s">
        <v>49</v>
      </c>
      <c r="I21" s="86">
        <v>3528</v>
      </c>
      <c r="J21" s="87">
        <f>K21-I21</f>
        <v>-1978</v>
      </c>
      <c r="K21" s="82">
        <v>1550</v>
      </c>
      <c r="L21" s="15"/>
    </row>
    <row r="22" spans="1:12" s="5" customFormat="1" ht="15.75" customHeight="1" x14ac:dyDescent="0.2">
      <c r="A22" s="154"/>
      <c r="C22" s="9"/>
      <c r="D22" s="131"/>
      <c r="E22" s="131"/>
      <c r="F22" s="131"/>
      <c r="G22" s="131"/>
      <c r="H22" s="55" t="s">
        <v>31</v>
      </c>
      <c r="I22" s="87">
        <v>2495.11</v>
      </c>
      <c r="J22" s="87">
        <f>K22-I22</f>
        <v>-872.23064000000022</v>
      </c>
      <c r="K22" s="87">
        <f>SUM(K16:K21)*0.08</f>
        <v>1622.8793599999999</v>
      </c>
      <c r="L22" s="15"/>
    </row>
    <row r="23" spans="1:12" s="5" customFormat="1" ht="18" customHeight="1" x14ac:dyDescent="0.25">
      <c r="A23" s="154"/>
      <c r="B23" s="151" t="s">
        <v>32</v>
      </c>
      <c r="C23" s="152"/>
      <c r="D23" s="152"/>
      <c r="E23" s="152"/>
      <c r="F23" s="152"/>
      <c r="G23" s="152"/>
      <c r="H23" s="152"/>
      <c r="I23" s="88">
        <f>SUM(I16:I22)</f>
        <v>41667.51</v>
      </c>
      <c r="J23" s="88">
        <f>SUM(J16:J22)</f>
        <v>-19758.638640000001</v>
      </c>
      <c r="K23" s="88">
        <f>SUM(K16:K22)</f>
        <v>21908.871359999997</v>
      </c>
      <c r="L23" s="113"/>
    </row>
    <row r="24" spans="1:12" ht="24" customHeight="1" x14ac:dyDescent="0.2">
      <c r="A24" s="17" t="s">
        <v>50</v>
      </c>
      <c r="B24" s="140"/>
      <c r="C24" s="141"/>
      <c r="D24" s="141"/>
      <c r="E24" s="141"/>
      <c r="F24" s="141"/>
      <c r="G24" s="141"/>
      <c r="H24" s="141"/>
      <c r="I24" s="89">
        <f>I11+I15+I23</f>
        <v>58168.51</v>
      </c>
      <c r="J24" s="89">
        <f>J11+J15+J23</f>
        <v>-8201.0436400000017</v>
      </c>
      <c r="K24" s="89">
        <f>K11+K15+K23</f>
        <v>49967.466359999999</v>
      </c>
      <c r="L24" s="114"/>
    </row>
    <row r="25" spans="1:12" ht="45.75" customHeight="1" x14ac:dyDescent="0.2">
      <c r="A25" s="142" t="s">
        <v>51</v>
      </c>
      <c r="B25" s="18" t="s">
        <v>52</v>
      </c>
      <c r="C25" s="19"/>
      <c r="D25" s="20"/>
      <c r="E25" s="20"/>
      <c r="F25" s="20"/>
      <c r="G25" s="143" t="s">
        <v>20</v>
      </c>
      <c r="H25" s="21" t="s">
        <v>53</v>
      </c>
      <c r="I25" s="90">
        <v>3000</v>
      </c>
      <c r="J25" s="90">
        <v>-1470</v>
      </c>
      <c r="K25" s="90">
        <f t="shared" ref="K25:K30" si="0">I25+J25</f>
        <v>1530</v>
      </c>
      <c r="L25" s="22" t="s">
        <v>54</v>
      </c>
    </row>
    <row r="26" spans="1:12" ht="26.25" customHeight="1" x14ac:dyDescent="0.2">
      <c r="A26" s="142"/>
      <c r="B26" s="23" t="s">
        <v>55</v>
      </c>
      <c r="C26" s="9"/>
      <c r="D26" s="24"/>
      <c r="E26" s="24"/>
      <c r="F26" s="24"/>
      <c r="G26" s="144"/>
      <c r="H26" s="12" t="s">
        <v>29</v>
      </c>
      <c r="I26" s="91">
        <v>2500</v>
      </c>
      <c r="J26" s="91">
        <v>-477</v>
      </c>
      <c r="K26" s="91">
        <f t="shared" si="0"/>
        <v>2023</v>
      </c>
      <c r="L26" s="25"/>
    </row>
    <row r="27" spans="1:12" ht="37.5" customHeight="1" x14ac:dyDescent="0.2">
      <c r="A27" s="142"/>
      <c r="B27" s="23" t="s">
        <v>56</v>
      </c>
      <c r="C27" s="9"/>
      <c r="D27" s="24"/>
      <c r="E27" s="24"/>
      <c r="F27" s="24"/>
      <c r="G27" s="144"/>
      <c r="H27" s="10" t="s">
        <v>36</v>
      </c>
      <c r="I27" s="91">
        <v>0</v>
      </c>
      <c r="J27" s="91">
        <v>2000</v>
      </c>
      <c r="K27" s="91">
        <f t="shared" si="0"/>
        <v>2000</v>
      </c>
      <c r="L27" s="25" t="s">
        <v>57</v>
      </c>
    </row>
    <row r="28" spans="1:12" ht="39" customHeight="1" x14ac:dyDescent="0.2">
      <c r="A28" s="142"/>
      <c r="B28" s="23" t="s">
        <v>58</v>
      </c>
      <c r="C28" s="9"/>
      <c r="D28" s="24"/>
      <c r="E28" s="24"/>
      <c r="F28" s="24"/>
      <c r="G28" s="144"/>
      <c r="H28" s="12" t="s">
        <v>27</v>
      </c>
      <c r="I28" s="91">
        <v>26000</v>
      </c>
      <c r="J28" s="91">
        <v>6000</v>
      </c>
      <c r="K28" s="91">
        <f t="shared" si="0"/>
        <v>32000</v>
      </c>
      <c r="L28" s="25" t="s">
        <v>59</v>
      </c>
    </row>
    <row r="29" spans="1:12" ht="25.5" x14ac:dyDescent="0.2">
      <c r="A29" s="142"/>
      <c r="B29" s="3" t="s">
        <v>60</v>
      </c>
      <c r="C29" s="9"/>
      <c r="D29" s="24"/>
      <c r="E29" s="24"/>
      <c r="F29" s="24"/>
      <c r="G29" s="144"/>
      <c r="H29" s="12" t="s">
        <v>61</v>
      </c>
      <c r="I29" s="91">
        <v>4000</v>
      </c>
      <c r="J29" s="91">
        <v>-1000</v>
      </c>
      <c r="K29" s="91">
        <f t="shared" si="0"/>
        <v>3000</v>
      </c>
      <c r="L29" s="25" t="s">
        <v>62</v>
      </c>
    </row>
    <row r="30" spans="1:12" ht="15" customHeight="1" x14ac:dyDescent="0.2">
      <c r="A30" s="142"/>
      <c r="C30" s="9"/>
      <c r="D30" s="24"/>
      <c r="E30" s="24"/>
      <c r="F30" s="24"/>
      <c r="G30" s="144"/>
      <c r="H30" s="12" t="s">
        <v>47</v>
      </c>
      <c r="I30" s="91">
        <v>500</v>
      </c>
      <c r="J30" s="91">
        <v>0</v>
      </c>
      <c r="K30" s="91">
        <f t="shared" si="0"/>
        <v>500</v>
      </c>
      <c r="L30" s="25"/>
    </row>
    <row r="31" spans="1:12" ht="15" customHeight="1" x14ac:dyDescent="0.2">
      <c r="A31" s="142"/>
      <c r="C31" s="9"/>
      <c r="D31" s="24"/>
      <c r="E31" s="24"/>
      <c r="F31" s="24"/>
      <c r="G31" s="144"/>
      <c r="H31" s="54" t="s">
        <v>49</v>
      </c>
      <c r="I31" s="92">
        <v>0</v>
      </c>
      <c r="J31" s="92">
        <v>2100</v>
      </c>
      <c r="K31" s="86">
        <f>I31+J31</f>
        <v>2100</v>
      </c>
      <c r="L31" s="25"/>
    </row>
    <row r="32" spans="1:12" ht="15" customHeight="1" x14ac:dyDescent="0.2">
      <c r="A32" s="142"/>
      <c r="B32" s="26"/>
      <c r="C32" s="9"/>
      <c r="D32" s="24"/>
      <c r="E32" s="24"/>
      <c r="F32" s="24"/>
      <c r="G32" s="144"/>
      <c r="H32" s="56" t="s">
        <v>31</v>
      </c>
      <c r="I32" s="92">
        <f>SUM(I25:I30)*0.07</f>
        <v>2520.0000000000005</v>
      </c>
      <c r="J32" s="92">
        <f>K32-I32</f>
        <v>932.23999999999978</v>
      </c>
      <c r="K32" s="92">
        <f>SUM(K25:K31)*0.08</f>
        <v>3452.2400000000002</v>
      </c>
      <c r="L32" s="25"/>
    </row>
    <row r="33" spans="1:12" ht="18" customHeight="1" x14ac:dyDescent="0.2">
      <c r="A33" s="142"/>
      <c r="B33" s="145" t="s">
        <v>32</v>
      </c>
      <c r="C33" s="146"/>
      <c r="D33" s="146"/>
      <c r="E33" s="146"/>
      <c r="F33" s="146"/>
      <c r="G33" s="146"/>
      <c r="H33" s="146"/>
      <c r="I33" s="81">
        <f>SUM(I25:I32)</f>
        <v>38520</v>
      </c>
      <c r="J33" s="81">
        <f>SUM(J25:J32)</f>
        <v>8085.24</v>
      </c>
      <c r="K33" s="81">
        <f>SUM(K25:K32)</f>
        <v>46605.24</v>
      </c>
      <c r="L33" s="34"/>
    </row>
    <row r="34" spans="1:12" ht="45" customHeight="1" x14ac:dyDescent="0.2">
      <c r="A34" s="142"/>
      <c r="B34" s="27" t="s">
        <v>63</v>
      </c>
      <c r="C34" s="9"/>
      <c r="D34" s="24"/>
      <c r="E34" s="24"/>
      <c r="F34" s="24"/>
      <c r="G34" s="147" t="s">
        <v>20</v>
      </c>
      <c r="H34" s="28" t="s">
        <v>64</v>
      </c>
      <c r="I34" s="91">
        <v>4000</v>
      </c>
      <c r="J34" s="91">
        <v>-3000</v>
      </c>
      <c r="K34" s="91">
        <f>I34+J34</f>
        <v>1000</v>
      </c>
      <c r="L34" s="25"/>
    </row>
    <row r="35" spans="1:12" x14ac:dyDescent="0.2">
      <c r="A35" s="142"/>
      <c r="B35" s="148" t="s">
        <v>65</v>
      </c>
      <c r="C35" s="9"/>
      <c r="D35" s="24"/>
      <c r="E35" s="24"/>
      <c r="F35" s="24"/>
      <c r="G35" s="147"/>
      <c r="H35" s="12" t="s">
        <v>27</v>
      </c>
      <c r="I35" s="91">
        <v>0</v>
      </c>
      <c r="J35" s="91">
        <v>4200</v>
      </c>
      <c r="K35" s="91">
        <f>I35+J35</f>
        <v>4200</v>
      </c>
      <c r="L35" s="25" t="s">
        <v>66</v>
      </c>
    </row>
    <row r="36" spans="1:12" ht="25.5" x14ac:dyDescent="0.2">
      <c r="A36" s="142"/>
      <c r="B36" s="149"/>
      <c r="C36" s="9"/>
      <c r="D36" s="24"/>
      <c r="E36" s="24"/>
      <c r="F36" s="24"/>
      <c r="G36" s="147"/>
      <c r="H36" s="12" t="s">
        <v>61</v>
      </c>
      <c r="I36" s="91">
        <v>0</v>
      </c>
      <c r="J36" s="91">
        <v>2000</v>
      </c>
      <c r="K36" s="91">
        <f>I36+J36</f>
        <v>2000</v>
      </c>
      <c r="L36" s="25" t="s">
        <v>67</v>
      </c>
    </row>
    <row r="37" spans="1:12" x14ac:dyDescent="0.2">
      <c r="A37" s="142"/>
      <c r="B37" s="149"/>
      <c r="C37" s="9"/>
      <c r="D37" s="24"/>
      <c r="E37" s="24"/>
      <c r="F37" s="24"/>
      <c r="G37" s="147"/>
      <c r="H37" s="10" t="s">
        <v>36</v>
      </c>
      <c r="I37" s="91">
        <v>0</v>
      </c>
      <c r="J37" s="91">
        <v>1800</v>
      </c>
      <c r="K37" s="91">
        <f>I37+J37</f>
        <v>1800</v>
      </c>
      <c r="L37" s="25"/>
    </row>
    <row r="38" spans="1:12" ht="18.75" customHeight="1" x14ac:dyDescent="0.2">
      <c r="A38" s="142"/>
      <c r="B38" s="150"/>
      <c r="C38" s="9"/>
      <c r="D38" s="24"/>
      <c r="E38" s="24"/>
      <c r="F38" s="24"/>
      <c r="G38" s="147"/>
      <c r="H38" s="56" t="s">
        <v>31</v>
      </c>
      <c r="I38" s="92">
        <v>280</v>
      </c>
      <c r="J38" s="92">
        <f>K38-I38</f>
        <v>440</v>
      </c>
      <c r="K38" s="92">
        <f>SUM(K34:K37)*0.08</f>
        <v>720</v>
      </c>
      <c r="L38" s="25"/>
    </row>
    <row r="39" spans="1:12" ht="18" customHeight="1" x14ac:dyDescent="0.2">
      <c r="A39" s="142"/>
      <c r="B39" s="151" t="s">
        <v>32</v>
      </c>
      <c r="C39" s="152"/>
      <c r="D39" s="152"/>
      <c r="E39" s="152"/>
      <c r="F39" s="152"/>
      <c r="G39" s="152"/>
      <c r="H39" s="152"/>
      <c r="I39" s="88">
        <f>SUM(I34:I38)</f>
        <v>4280</v>
      </c>
      <c r="J39" s="88">
        <f>SUM(J34:J38)</f>
        <v>5440</v>
      </c>
      <c r="K39" s="88">
        <f>SUM(K34:K38)</f>
        <v>9720</v>
      </c>
      <c r="L39" s="113"/>
    </row>
    <row r="40" spans="1:12" ht="23.25" customHeight="1" x14ac:dyDescent="0.2">
      <c r="A40" s="29" t="s">
        <v>68</v>
      </c>
      <c r="B40" s="140"/>
      <c r="C40" s="141"/>
      <c r="D40" s="141"/>
      <c r="E40" s="141"/>
      <c r="F40" s="141"/>
      <c r="G40" s="141"/>
      <c r="H40" s="141"/>
      <c r="I40" s="89">
        <f>I33+I39</f>
        <v>42800</v>
      </c>
      <c r="J40" s="89">
        <f>J33+J39</f>
        <v>13525.24</v>
      </c>
      <c r="K40" s="89">
        <f>K33+K39</f>
        <v>56325.24</v>
      </c>
      <c r="L40" s="114"/>
    </row>
    <row r="41" spans="1:12" s="31" customFormat="1" ht="33.75" customHeight="1" x14ac:dyDescent="0.2">
      <c r="A41" s="168" t="s">
        <v>69</v>
      </c>
      <c r="B41" s="57" t="s">
        <v>70</v>
      </c>
      <c r="C41" s="58"/>
      <c r="D41" s="59"/>
      <c r="E41" s="59"/>
      <c r="F41" s="59"/>
      <c r="G41" s="171" t="s">
        <v>20</v>
      </c>
      <c r="H41" s="60" t="s">
        <v>71</v>
      </c>
      <c r="I41" s="93">
        <v>0</v>
      </c>
      <c r="J41" s="93">
        <v>1390</v>
      </c>
      <c r="K41" s="93">
        <f>I41+J41</f>
        <v>1390</v>
      </c>
      <c r="L41" s="30" t="s">
        <v>72</v>
      </c>
    </row>
    <row r="42" spans="1:12" s="31" customFormat="1" ht="25.5" x14ac:dyDescent="0.2">
      <c r="A42" s="169"/>
      <c r="B42" s="61" t="s">
        <v>73</v>
      </c>
      <c r="C42" s="58"/>
      <c r="D42" s="62"/>
      <c r="E42" s="62"/>
      <c r="F42" s="62"/>
      <c r="G42" s="172"/>
      <c r="H42" s="56" t="s">
        <v>61</v>
      </c>
      <c r="I42" s="92">
        <v>0</v>
      </c>
      <c r="J42" s="92">
        <v>1500</v>
      </c>
      <c r="K42" s="92">
        <f>I42+J42</f>
        <v>1500</v>
      </c>
      <c r="L42" s="25" t="s">
        <v>74</v>
      </c>
    </row>
    <row r="43" spans="1:12" s="31" customFormat="1" x14ac:dyDescent="0.2">
      <c r="A43" s="169"/>
      <c r="B43" s="61" t="s">
        <v>75</v>
      </c>
      <c r="C43" s="58"/>
      <c r="D43" s="62"/>
      <c r="E43" s="62"/>
      <c r="F43" s="62"/>
      <c r="G43" s="172"/>
      <c r="H43" s="56" t="s">
        <v>29</v>
      </c>
      <c r="I43" s="92">
        <v>0</v>
      </c>
      <c r="J43" s="92">
        <v>3000</v>
      </c>
      <c r="K43" s="92">
        <f>I43+J43</f>
        <v>3000</v>
      </c>
      <c r="L43" s="25"/>
    </row>
    <row r="44" spans="1:12" s="31" customFormat="1" x14ac:dyDescent="0.2">
      <c r="A44" s="169"/>
      <c r="B44" s="61"/>
      <c r="C44" s="58"/>
      <c r="D44" s="62"/>
      <c r="E44" s="62"/>
      <c r="F44" s="62"/>
      <c r="G44" s="172"/>
      <c r="H44" s="56" t="s">
        <v>31</v>
      </c>
      <c r="I44" s="92">
        <v>0</v>
      </c>
      <c r="J44" s="92">
        <f>K44+I44</f>
        <v>471.2</v>
      </c>
      <c r="K44" s="92">
        <f>SUM(K41:K43)*0.08</f>
        <v>471.2</v>
      </c>
      <c r="L44" s="25"/>
    </row>
    <row r="45" spans="1:12" s="31" customFormat="1" ht="23.25" customHeight="1" x14ac:dyDescent="0.2">
      <c r="A45" s="169"/>
      <c r="B45" s="173" t="s">
        <v>32</v>
      </c>
      <c r="C45" s="174"/>
      <c r="D45" s="174"/>
      <c r="E45" s="174"/>
      <c r="F45" s="174"/>
      <c r="G45" s="174"/>
      <c r="H45" s="174"/>
      <c r="I45" s="94">
        <f>SUM(I41:I44)</f>
        <v>0</v>
      </c>
      <c r="J45" s="94">
        <f>SUM(J41:J44)</f>
        <v>6361.2</v>
      </c>
      <c r="K45" s="94">
        <f>SUM(K41:K44)</f>
        <v>6361.2</v>
      </c>
      <c r="L45" s="34"/>
    </row>
    <row r="46" spans="1:12" s="31" customFormat="1" ht="48.75" customHeight="1" x14ac:dyDescent="0.2">
      <c r="A46" s="169"/>
      <c r="B46" s="35" t="s">
        <v>76</v>
      </c>
      <c r="C46" s="9"/>
      <c r="D46" s="33"/>
      <c r="E46" s="33"/>
      <c r="F46" s="33"/>
      <c r="G46" s="175" t="s">
        <v>20</v>
      </c>
      <c r="H46" s="12" t="s">
        <v>27</v>
      </c>
      <c r="I46" s="91">
        <v>40000</v>
      </c>
      <c r="J46" s="91">
        <v>-18000</v>
      </c>
      <c r="K46" s="90">
        <f>I46+J46</f>
        <v>22000</v>
      </c>
      <c r="L46" s="25"/>
    </row>
    <row r="47" spans="1:12" s="31" customFormat="1" ht="16.5" customHeight="1" x14ac:dyDescent="0.2">
      <c r="A47" s="169"/>
      <c r="B47" s="176" t="s">
        <v>77</v>
      </c>
      <c r="C47" s="9"/>
      <c r="D47" s="33"/>
      <c r="E47" s="33"/>
      <c r="F47" s="33"/>
      <c r="G47" s="175"/>
      <c r="H47" s="12" t="s">
        <v>29</v>
      </c>
      <c r="I47" s="91">
        <v>9000</v>
      </c>
      <c r="J47" s="91">
        <v>2059.12</v>
      </c>
      <c r="K47" s="90">
        <f>I47+J47</f>
        <v>11059.119999999999</v>
      </c>
      <c r="L47" s="25"/>
    </row>
    <row r="48" spans="1:12" s="31" customFormat="1" ht="37.5" customHeight="1" x14ac:dyDescent="0.2">
      <c r="A48" s="169"/>
      <c r="B48" s="176"/>
      <c r="C48" s="9"/>
      <c r="D48" s="33"/>
      <c r="E48" s="33"/>
      <c r="F48" s="33"/>
      <c r="G48" s="175"/>
      <c r="H48" s="12" t="s">
        <v>61</v>
      </c>
      <c r="I48" s="91">
        <v>2488.65</v>
      </c>
      <c r="J48" s="91">
        <v>1000</v>
      </c>
      <c r="K48" s="91">
        <f>I48+J48</f>
        <v>3488.65</v>
      </c>
      <c r="L48" s="25"/>
    </row>
    <row r="49" spans="1:22" s="31" customFormat="1" ht="19.5" customHeight="1" x14ac:dyDescent="0.2">
      <c r="A49" s="169"/>
      <c r="B49" s="61" t="s">
        <v>78</v>
      </c>
      <c r="C49" s="9"/>
      <c r="D49" s="33"/>
      <c r="E49" s="33"/>
      <c r="F49" s="33"/>
      <c r="G49" s="175"/>
      <c r="H49" s="177" t="s">
        <v>35</v>
      </c>
      <c r="I49" s="183">
        <v>8034</v>
      </c>
      <c r="J49" s="184">
        <f>K49-I49</f>
        <v>1342.121000000001</v>
      </c>
      <c r="K49" s="186">
        <f>2238.53*2+2807.53*0.3*2+2238.53*0.6+3742.85*0.5</f>
        <v>9376.121000000001</v>
      </c>
      <c r="L49" s="110" t="s">
        <v>98</v>
      </c>
    </row>
    <row r="50" spans="1:22" s="31" customFormat="1" ht="15" customHeight="1" x14ac:dyDescent="0.2">
      <c r="A50" s="169"/>
      <c r="B50" s="69" t="s">
        <v>99</v>
      </c>
      <c r="C50" s="9"/>
      <c r="D50" s="33"/>
      <c r="E50" s="33"/>
      <c r="F50" s="33"/>
      <c r="G50" s="175"/>
      <c r="H50" s="177"/>
      <c r="I50" s="183"/>
      <c r="J50" s="185"/>
      <c r="K50" s="187"/>
      <c r="L50" s="121" t="s">
        <v>100</v>
      </c>
    </row>
    <row r="51" spans="1:22" s="31" customFormat="1" ht="15" customHeight="1" x14ac:dyDescent="0.2">
      <c r="A51" s="169"/>
      <c r="B51" s="68" t="s">
        <v>48</v>
      </c>
      <c r="C51" s="9"/>
      <c r="D51" s="33"/>
      <c r="E51" s="33"/>
      <c r="F51" s="33"/>
      <c r="G51" s="175"/>
      <c r="H51" s="53" t="s">
        <v>79</v>
      </c>
      <c r="I51" s="82">
        <v>2678.53</v>
      </c>
      <c r="J51" s="82">
        <f>K51-I51</f>
        <v>2221.4699999999998</v>
      </c>
      <c r="K51" s="86">
        <v>4900</v>
      </c>
      <c r="L51" s="36"/>
    </row>
    <row r="52" spans="1:22" s="31" customFormat="1" ht="18" customHeight="1" x14ac:dyDescent="0.2">
      <c r="A52" s="169"/>
      <c r="B52" s="37"/>
      <c r="C52" s="9"/>
      <c r="D52" s="33"/>
      <c r="E52" s="33"/>
      <c r="F52" s="33"/>
      <c r="G52" s="175"/>
      <c r="H52" s="56" t="s">
        <v>31</v>
      </c>
      <c r="I52" s="92">
        <v>4761.8119999999999</v>
      </c>
      <c r="J52" s="92">
        <f>K52-I52</f>
        <v>-695.90072000000009</v>
      </c>
      <c r="K52" s="92">
        <f>SUM(K46:K51)*0.08</f>
        <v>4065.9112799999998</v>
      </c>
      <c r="L52" s="25"/>
    </row>
    <row r="53" spans="1:22" s="31" customFormat="1" ht="27" customHeight="1" x14ac:dyDescent="0.2">
      <c r="A53" s="169"/>
      <c r="B53" s="145" t="s">
        <v>32</v>
      </c>
      <c r="C53" s="146"/>
      <c r="D53" s="146"/>
      <c r="E53" s="146"/>
      <c r="F53" s="146"/>
      <c r="G53" s="146"/>
      <c r="H53" s="146"/>
      <c r="I53" s="95">
        <f>SUM(I46:I52)</f>
        <v>66962.991999999998</v>
      </c>
      <c r="J53" s="95">
        <f>SUM(J46:J52)</f>
        <v>-12073.18972</v>
      </c>
      <c r="K53" s="95">
        <f>SUM(K46:K52)</f>
        <v>54889.802279999996</v>
      </c>
      <c r="L53" s="34"/>
    </row>
    <row r="54" spans="1:22" s="31" customFormat="1" ht="19.5" customHeight="1" x14ac:dyDescent="0.2">
      <c r="A54" s="169"/>
      <c r="B54" s="35" t="s">
        <v>80</v>
      </c>
      <c r="C54" s="9"/>
      <c r="D54" s="33"/>
      <c r="E54" s="33"/>
      <c r="F54" s="33"/>
      <c r="G54" s="175" t="s">
        <v>20</v>
      </c>
      <c r="H54" s="21" t="s">
        <v>53</v>
      </c>
      <c r="I54" s="91">
        <v>0</v>
      </c>
      <c r="J54" s="91">
        <v>4000</v>
      </c>
      <c r="K54" s="90">
        <f>I54+J54</f>
        <v>4000</v>
      </c>
      <c r="L54" s="25"/>
    </row>
    <row r="55" spans="1:22" s="31" customFormat="1" ht="35.25" customHeight="1" x14ac:dyDescent="0.2">
      <c r="A55" s="169"/>
      <c r="B55" s="32" t="s">
        <v>81</v>
      </c>
      <c r="C55" s="9"/>
      <c r="D55" s="33"/>
      <c r="E55" s="33"/>
      <c r="F55" s="33"/>
      <c r="G55" s="175"/>
      <c r="H55" s="38" t="s">
        <v>82</v>
      </c>
      <c r="I55" s="91">
        <v>0</v>
      </c>
      <c r="J55" s="91">
        <v>9700</v>
      </c>
      <c r="K55" s="90">
        <f>I55+J55</f>
        <v>9700</v>
      </c>
      <c r="L55" s="25"/>
    </row>
    <row r="56" spans="1:22" s="31" customFormat="1" ht="18" customHeight="1" x14ac:dyDescent="0.2">
      <c r="A56" s="169"/>
      <c r="B56" s="31" t="s">
        <v>83</v>
      </c>
      <c r="C56" s="9"/>
      <c r="D56" s="33"/>
      <c r="E56" s="33"/>
      <c r="F56" s="33"/>
      <c r="G56" s="175"/>
      <c r="H56" s="28" t="s">
        <v>64</v>
      </c>
      <c r="I56" s="91">
        <v>0</v>
      </c>
      <c r="J56" s="91">
        <v>9100</v>
      </c>
      <c r="K56" s="90">
        <f>I56+J56</f>
        <v>9100</v>
      </c>
      <c r="L56" s="25"/>
    </row>
    <row r="57" spans="1:22" s="31" customFormat="1" ht="19.5" customHeight="1" x14ac:dyDescent="0.2">
      <c r="A57" s="169"/>
      <c r="B57" s="32" t="s">
        <v>48</v>
      </c>
      <c r="C57" s="9"/>
      <c r="D57" s="33"/>
      <c r="E57" s="33"/>
      <c r="F57" s="33"/>
      <c r="G57" s="175"/>
      <c r="H57" s="12" t="s">
        <v>27</v>
      </c>
      <c r="I57" s="91">
        <v>0</v>
      </c>
      <c r="J57" s="91">
        <v>9100</v>
      </c>
      <c r="K57" s="90">
        <f>I57+J57</f>
        <v>9100</v>
      </c>
      <c r="L57" s="25"/>
    </row>
    <row r="58" spans="1:22" s="31" customFormat="1" ht="19.5" customHeight="1" x14ac:dyDescent="0.2">
      <c r="A58" s="169"/>
      <c r="B58" s="32"/>
      <c r="C58" s="9"/>
      <c r="D58" s="33"/>
      <c r="E58" s="33"/>
      <c r="F58" s="33"/>
      <c r="G58" s="175"/>
      <c r="H58" s="16" t="s">
        <v>49</v>
      </c>
      <c r="I58" s="79">
        <f>SUM(I54:I57)</f>
        <v>0</v>
      </c>
      <c r="J58" s="91">
        <f>K58</f>
        <v>0</v>
      </c>
      <c r="K58" s="79">
        <v>0</v>
      </c>
      <c r="L58" s="25"/>
    </row>
    <row r="59" spans="1:22" s="31" customFormat="1" ht="19.5" customHeight="1" x14ac:dyDescent="0.2">
      <c r="A59" s="169"/>
      <c r="B59" s="37"/>
      <c r="C59" s="9"/>
      <c r="D59" s="33"/>
      <c r="E59" s="33"/>
      <c r="F59" s="33"/>
      <c r="G59" s="175"/>
      <c r="H59" s="56" t="s">
        <v>31</v>
      </c>
      <c r="I59" s="92">
        <v>0</v>
      </c>
      <c r="J59" s="92">
        <f>K59</f>
        <v>2552</v>
      </c>
      <c r="K59" s="92">
        <f>SUM(K54:K58)*0.08</f>
        <v>2552</v>
      </c>
      <c r="L59" s="25"/>
    </row>
    <row r="60" spans="1:22" s="39" customFormat="1" ht="26.25" customHeight="1" x14ac:dyDescent="0.2">
      <c r="A60" s="169"/>
      <c r="B60" s="145" t="s">
        <v>32</v>
      </c>
      <c r="C60" s="146"/>
      <c r="D60" s="146"/>
      <c r="E60" s="146"/>
      <c r="F60" s="146"/>
      <c r="G60" s="146"/>
      <c r="H60" s="146"/>
      <c r="I60" s="95">
        <f>SUM(I54:I59)</f>
        <v>0</v>
      </c>
      <c r="J60" s="95">
        <f>SUM(J54:J59)</f>
        <v>34452</v>
      </c>
      <c r="K60" s="95">
        <f>SUM(K54:K59)</f>
        <v>34452</v>
      </c>
      <c r="L60" s="115"/>
      <c r="M60" s="31"/>
      <c r="N60" s="31"/>
      <c r="O60" s="31"/>
      <c r="P60" s="31"/>
      <c r="Q60" s="31"/>
      <c r="R60" s="31"/>
      <c r="S60" s="31"/>
      <c r="T60" s="31"/>
      <c r="U60" s="31"/>
      <c r="V60" s="31"/>
    </row>
    <row r="61" spans="1:22" s="31" customFormat="1" ht="34.5" customHeight="1" x14ac:dyDescent="0.2">
      <c r="A61" s="169"/>
      <c r="B61" s="35" t="s">
        <v>84</v>
      </c>
      <c r="C61" s="9"/>
      <c r="D61" s="33"/>
      <c r="E61" s="33"/>
      <c r="F61" s="33"/>
      <c r="G61" s="178" t="s">
        <v>20</v>
      </c>
      <c r="H61" s="28" t="s">
        <v>64</v>
      </c>
      <c r="I61" s="91">
        <v>0</v>
      </c>
      <c r="J61" s="91">
        <v>9000</v>
      </c>
      <c r="K61" s="90">
        <f t="shared" ref="K61:K64" si="1">I61+J61</f>
        <v>9000</v>
      </c>
      <c r="L61" s="25"/>
    </row>
    <row r="62" spans="1:22" s="31" customFormat="1" ht="24.75" customHeight="1" x14ac:dyDescent="0.2">
      <c r="A62" s="169"/>
      <c r="B62" s="32" t="s">
        <v>85</v>
      </c>
      <c r="C62" s="9"/>
      <c r="D62" s="33"/>
      <c r="E62" s="33"/>
      <c r="F62" s="33"/>
      <c r="G62" s="179"/>
      <c r="H62" s="12" t="s">
        <v>61</v>
      </c>
      <c r="I62" s="91">
        <v>0</v>
      </c>
      <c r="J62" s="91">
        <v>5000</v>
      </c>
      <c r="K62" s="90">
        <f t="shared" si="1"/>
        <v>5000</v>
      </c>
      <c r="L62" s="25"/>
    </row>
    <row r="63" spans="1:22" s="31" customFormat="1" ht="24.75" customHeight="1" x14ac:dyDescent="0.2">
      <c r="A63" s="169"/>
      <c r="B63" s="32"/>
      <c r="C63" s="9"/>
      <c r="D63" s="33"/>
      <c r="E63" s="33"/>
      <c r="F63" s="33"/>
      <c r="G63" s="179"/>
      <c r="H63" s="12" t="s">
        <v>27</v>
      </c>
      <c r="I63" s="91">
        <v>0</v>
      </c>
      <c r="J63" s="91">
        <v>9000</v>
      </c>
      <c r="K63" s="90">
        <f t="shared" si="1"/>
        <v>9000</v>
      </c>
      <c r="L63" s="25"/>
    </row>
    <row r="64" spans="1:22" s="31" customFormat="1" ht="24.75" customHeight="1" x14ac:dyDescent="0.2">
      <c r="A64" s="169"/>
      <c r="B64" s="32"/>
      <c r="C64" s="9"/>
      <c r="D64" s="33"/>
      <c r="E64" s="33"/>
      <c r="F64" s="33"/>
      <c r="G64" s="179"/>
      <c r="H64" s="63" t="s">
        <v>47</v>
      </c>
      <c r="I64" s="92">
        <v>0</v>
      </c>
      <c r="J64" s="92">
        <v>2000</v>
      </c>
      <c r="K64" s="93">
        <f t="shared" si="1"/>
        <v>2000</v>
      </c>
      <c r="L64" s="25"/>
    </row>
    <row r="65" spans="1:15" s="31" customFormat="1" ht="24.75" customHeight="1" x14ac:dyDescent="0.2">
      <c r="A65" s="169"/>
      <c r="B65" s="32"/>
      <c r="C65" s="9"/>
      <c r="D65" s="33"/>
      <c r="E65" s="33"/>
      <c r="F65" s="33"/>
      <c r="G65" s="180"/>
      <c r="H65" s="64" t="s">
        <v>31</v>
      </c>
      <c r="I65" s="92">
        <v>0</v>
      </c>
      <c r="J65" s="92">
        <f>K65</f>
        <v>2000</v>
      </c>
      <c r="K65" s="92">
        <f>SUM(K61:K64)*0.08</f>
        <v>2000</v>
      </c>
      <c r="L65" s="25"/>
    </row>
    <row r="66" spans="1:15" s="31" customFormat="1" ht="25.5" customHeight="1" x14ac:dyDescent="0.2">
      <c r="A66" s="170"/>
      <c r="B66" s="151" t="s">
        <v>32</v>
      </c>
      <c r="C66" s="152"/>
      <c r="D66" s="152"/>
      <c r="E66" s="152"/>
      <c r="F66" s="152"/>
      <c r="G66" s="152"/>
      <c r="H66" s="152"/>
      <c r="I66" s="123">
        <f>SUM(I61:I65)</f>
        <v>0</v>
      </c>
      <c r="J66" s="123">
        <f>SUM(J61:J65)</f>
        <v>27000</v>
      </c>
      <c r="K66" s="123">
        <f>SUM(K61:K65)</f>
        <v>27000</v>
      </c>
      <c r="L66" s="124"/>
    </row>
    <row r="67" spans="1:15" s="31" customFormat="1" ht="25.5" customHeight="1" x14ac:dyDescent="0.2">
      <c r="A67" s="122" t="s">
        <v>101</v>
      </c>
      <c r="B67" s="65"/>
      <c r="C67" s="66"/>
      <c r="D67" s="66"/>
      <c r="E67" s="66"/>
      <c r="F67" s="66"/>
      <c r="G67" s="66"/>
      <c r="H67" s="66"/>
      <c r="I67" s="89">
        <f>I10++I22+I32+I38+I44+I52+I59+I65</f>
        <v>10301.922</v>
      </c>
      <c r="J67" s="89">
        <f>J10++J22+J32+J38+J44+J52+J59+J65</f>
        <v>5539.9086399999997</v>
      </c>
      <c r="K67" s="89">
        <f>K10++K22+K32+K38+K44+K52+K59+K65</f>
        <v>15841.83064</v>
      </c>
      <c r="L67" s="114"/>
    </row>
    <row r="68" spans="1:15" s="40" customFormat="1" ht="22.5" customHeight="1" x14ac:dyDescent="0.2">
      <c r="A68" s="29" t="s">
        <v>86</v>
      </c>
      <c r="B68" s="181"/>
      <c r="C68" s="182"/>
      <c r="D68" s="182"/>
      <c r="E68" s="182"/>
      <c r="F68" s="182"/>
      <c r="G68" s="182"/>
      <c r="H68" s="182"/>
      <c r="I68" s="96">
        <f>SUM(I45,I53,I60,I66)</f>
        <v>66962.991999999998</v>
      </c>
      <c r="J68" s="96">
        <f>SUM(J45,J53,J60,J66)</f>
        <v>55740.010280000002</v>
      </c>
      <c r="K68" s="96">
        <f>SUM(K45,K53,K60,K66)</f>
        <v>122703.00227999999</v>
      </c>
      <c r="L68" s="116"/>
    </row>
    <row r="69" spans="1:15" s="40" customFormat="1" ht="24" customHeight="1" x14ac:dyDescent="0.2">
      <c r="A69" s="29" t="s">
        <v>87</v>
      </c>
      <c r="B69" s="181"/>
      <c r="C69" s="182"/>
      <c r="D69" s="182"/>
      <c r="E69" s="182"/>
      <c r="F69" s="182"/>
      <c r="G69" s="182"/>
      <c r="H69" s="182"/>
      <c r="I69" s="96">
        <f>SUM(I68,I40,I24)</f>
        <v>167931.50200000001</v>
      </c>
      <c r="J69" s="96">
        <f>SUM(J68,J40,J24)</f>
        <v>61064.206640000004</v>
      </c>
      <c r="K69" s="96">
        <f>SUM(K68,K40,K24)</f>
        <v>228995.70863999997</v>
      </c>
      <c r="L69" s="116"/>
    </row>
    <row r="70" spans="1:15" s="40" customFormat="1" ht="24" customHeight="1" x14ac:dyDescent="0.2">
      <c r="A70" s="41"/>
      <c r="B70" s="41"/>
      <c r="C70" s="41"/>
      <c r="D70" s="41"/>
      <c r="E70" s="41"/>
      <c r="F70" s="41"/>
      <c r="G70" s="41"/>
      <c r="I70" s="97"/>
      <c r="J70" s="98"/>
      <c r="K70" s="98"/>
      <c r="L70" s="42"/>
    </row>
    <row r="71" spans="1:15" s="40" customFormat="1" ht="37.5" customHeight="1" x14ac:dyDescent="0.2">
      <c r="A71" s="125" t="s">
        <v>104</v>
      </c>
      <c r="B71" s="126"/>
      <c r="C71" s="127"/>
      <c r="D71" s="127"/>
      <c r="E71" s="127"/>
      <c r="F71" s="127"/>
      <c r="G71" s="126"/>
      <c r="H71" s="128"/>
      <c r="I71" s="46"/>
      <c r="J71" s="46"/>
      <c r="K71" s="46"/>
      <c r="L71" s="47"/>
    </row>
    <row r="72" spans="1:15" ht="29.25" customHeight="1" x14ac:dyDescent="0.2">
      <c r="A72" s="125" t="s">
        <v>103</v>
      </c>
      <c r="B72" s="126"/>
      <c r="C72" s="127"/>
      <c r="D72" s="127"/>
      <c r="E72" s="127"/>
      <c r="F72" s="127"/>
      <c r="G72" s="129"/>
      <c r="H72" s="129"/>
      <c r="I72" s="97"/>
      <c r="J72" s="97"/>
      <c r="K72" s="97"/>
      <c r="L72" s="42"/>
    </row>
    <row r="73" spans="1:15" ht="29.25" customHeight="1" x14ac:dyDescent="0.2">
      <c r="A73" s="125" t="s">
        <v>102</v>
      </c>
      <c r="B73" s="128"/>
      <c r="C73" s="127"/>
      <c r="D73" s="127"/>
      <c r="E73" s="127"/>
      <c r="F73" s="127"/>
      <c r="G73" s="128"/>
      <c r="H73" s="129"/>
      <c r="I73" s="97"/>
      <c r="J73" s="97"/>
      <c r="K73" s="97"/>
      <c r="L73" s="42"/>
    </row>
    <row r="74" spans="1:15" s="40" customFormat="1" ht="24" customHeight="1" x14ac:dyDescent="0.2">
      <c r="A74" s="129"/>
      <c r="B74" s="129"/>
      <c r="C74" s="129"/>
      <c r="D74" s="129"/>
      <c r="E74" s="129"/>
      <c r="F74" s="129"/>
      <c r="G74" s="129"/>
      <c r="H74" s="130"/>
    </row>
    <row r="75" spans="1:15" s="40" customFormat="1" ht="24" customHeight="1" x14ac:dyDescent="0.2">
      <c r="A75" s="41"/>
      <c r="B75" s="41"/>
      <c r="C75" s="41"/>
      <c r="D75" s="41"/>
      <c r="E75" s="41"/>
      <c r="F75" s="41"/>
      <c r="G75" s="41"/>
      <c r="H75" s="43"/>
    </row>
    <row r="76" spans="1:15" ht="13.5" thickBot="1" x14ac:dyDescent="0.25">
      <c r="C76" s="48"/>
      <c r="D76" s="48"/>
      <c r="E76" s="48"/>
      <c r="F76" s="48"/>
    </row>
    <row r="77" spans="1:15" ht="15" x14ac:dyDescent="0.2">
      <c r="C77" s="48"/>
      <c r="D77" s="48"/>
      <c r="E77" s="48"/>
      <c r="F77" s="48"/>
      <c r="J77" s="99"/>
      <c r="K77" s="100" t="s">
        <v>88</v>
      </c>
      <c r="L77" s="101">
        <f>SUM(K11,K23,K33,K39,K45,K53,K60,K66)</f>
        <v>213864.71363999997</v>
      </c>
      <c r="M77" s="117">
        <v>213865</v>
      </c>
      <c r="N77" s="52">
        <f>M77*0.04</f>
        <v>8554.6</v>
      </c>
      <c r="O77" s="40"/>
    </row>
    <row r="78" spans="1:15" ht="15" x14ac:dyDescent="0.2">
      <c r="J78" s="99"/>
      <c r="K78" s="100" t="s">
        <v>89</v>
      </c>
      <c r="L78" s="101">
        <f>K15</f>
        <v>15130.994999999999</v>
      </c>
      <c r="M78" s="118">
        <v>15131</v>
      </c>
      <c r="N78" s="40"/>
      <c r="O78" s="40"/>
    </row>
    <row r="79" spans="1:15" ht="15.75" thickBot="1" x14ac:dyDescent="0.25">
      <c r="J79" s="99"/>
      <c r="K79" s="102"/>
      <c r="L79" s="103"/>
      <c r="M79" s="119">
        <f>SUM(M77:M78)</f>
        <v>228996</v>
      </c>
      <c r="N79" s="40"/>
      <c r="O79" s="40"/>
    </row>
    <row r="80" spans="1:15" ht="15.75" thickBot="1" x14ac:dyDescent="0.25">
      <c r="J80" s="99"/>
      <c r="K80" s="102"/>
      <c r="L80" s="104">
        <v>213866</v>
      </c>
      <c r="M80" s="120" t="s">
        <v>90</v>
      </c>
      <c r="N80" s="40"/>
      <c r="O80" s="40"/>
    </row>
    <row r="81" spans="10:15" ht="15.75" thickBot="1" x14ac:dyDescent="0.25">
      <c r="J81" s="99" t="s">
        <v>96</v>
      </c>
      <c r="K81" s="102">
        <f>L81*0.04</f>
        <v>4908.12</v>
      </c>
      <c r="L81" s="105">
        <v>122703</v>
      </c>
      <c r="M81" s="49" t="s">
        <v>94</v>
      </c>
      <c r="N81" s="40"/>
      <c r="O81" s="40"/>
    </row>
    <row r="82" spans="10:15" ht="15" x14ac:dyDescent="0.2">
      <c r="J82" s="99" t="s">
        <v>97</v>
      </c>
      <c r="K82" s="106">
        <f>N77-K81</f>
        <v>3646.4800000000005</v>
      </c>
      <c r="L82" s="107">
        <f>L81-SUM(K45,K53,K60,K66)</f>
        <v>-2.2799999860581011E-3</v>
      </c>
      <c r="M82" s="44" t="s">
        <v>91</v>
      </c>
      <c r="N82" s="40"/>
      <c r="O82" s="40"/>
    </row>
    <row r="83" spans="10:15" ht="15" x14ac:dyDescent="0.2">
      <c r="J83" s="97"/>
      <c r="K83" s="97"/>
      <c r="L83" s="108">
        <f>148831-SUM(18731+38937)-SUM(K11,K23,K33,K39)</f>
        <v>1.2886400000134017</v>
      </c>
      <c r="M83" s="45" t="s">
        <v>92</v>
      </c>
      <c r="N83" s="40"/>
      <c r="O83" s="40"/>
    </row>
    <row r="84" spans="10:15" x14ac:dyDescent="0.2">
      <c r="J84" s="97"/>
      <c r="K84" s="97"/>
      <c r="L84" s="99"/>
      <c r="M84" s="40"/>
      <c r="N84" s="40"/>
      <c r="O84" s="40"/>
    </row>
  </sheetData>
  <mergeCells count="47">
    <mergeCell ref="B68:H68"/>
    <mergeCell ref="B69:H69"/>
    <mergeCell ref="I49:I50"/>
    <mergeCell ref="J49:J50"/>
    <mergeCell ref="K49:K50"/>
    <mergeCell ref="B53:H53"/>
    <mergeCell ref="G54:G59"/>
    <mergeCell ref="B60:H60"/>
    <mergeCell ref="B40:H40"/>
    <mergeCell ref="A41:A66"/>
    <mergeCell ref="G41:G44"/>
    <mergeCell ref="B45:H45"/>
    <mergeCell ref="G46:G52"/>
    <mergeCell ref="B47:B48"/>
    <mergeCell ref="H49:H50"/>
    <mergeCell ref="G61:G65"/>
    <mergeCell ref="B66:H66"/>
    <mergeCell ref="E16:E22"/>
    <mergeCell ref="B11:H11"/>
    <mergeCell ref="B12:B14"/>
    <mergeCell ref="D12:D14"/>
    <mergeCell ref="E12:E14"/>
    <mergeCell ref="F12:F14"/>
    <mergeCell ref="G12:G14"/>
    <mergeCell ref="B24:H24"/>
    <mergeCell ref="A25:A39"/>
    <mergeCell ref="G25:G32"/>
    <mergeCell ref="B33:H33"/>
    <mergeCell ref="G34:G38"/>
    <mergeCell ref="B35:B38"/>
    <mergeCell ref="B39:H39"/>
    <mergeCell ref="F16:F22"/>
    <mergeCell ref="G16:G22"/>
    <mergeCell ref="A2:L2"/>
    <mergeCell ref="A1:I1"/>
    <mergeCell ref="C4:F4"/>
    <mergeCell ref="G4:G5"/>
    <mergeCell ref="H4:L4"/>
    <mergeCell ref="A6:A23"/>
    <mergeCell ref="D6:D10"/>
    <mergeCell ref="E6:E10"/>
    <mergeCell ref="F6:F10"/>
    <mergeCell ref="G6:G10"/>
    <mergeCell ref="B23:H23"/>
    <mergeCell ref="B8:B9"/>
    <mergeCell ref="B15:H15"/>
    <mergeCell ref="D16:D22"/>
  </mergeCells>
  <pageMargins left="0.7" right="0.7" top="0.75" bottom="0.75" header="0.3" footer="0.3"/>
  <pageSetup paperSize="9" scale="39" orientation="portrait" r:id="rId1"/>
  <rowBreaks count="1" manualBreakCount="1">
    <brk id="74" max="11" man="1"/>
  </rowBreaks>
  <ignoredErrors>
    <ignoredError sqref="K15 J11 K17" formula="1"/>
    <ignoredError sqref="I32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8" ma:contentTypeDescription="Create a new document." ma:contentTypeScope="" ma:versionID="c23ff14c6a1216ca0da59536d6135350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3fb70f3e30476780b5b1d1f7e2ee4f0b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91d5986-7c29-4ed1-8a54-b8fb378ed474" xsi:nil="true"/>
    <OfficeCountry xmlns="d9cf0e28-81d2-4dc7-8b10-820d80ed680d" xsi:nil="true"/>
    <DocumentStatus xmlns="d9cf0e28-81d2-4dc7-8b10-820d80ed680d">Final</DocumentStatus>
    <DocCoverageEndDate xmlns="d9cf0e28-81d2-4dc7-8b10-820d80ed680d" xsi:nil="true"/>
    <FunctionalArea xmlns="d9cf0e28-81d2-4dc7-8b10-820d80ed680d">Programme and Project</FunctionalArea>
    <FileNameDescription xmlns="d9cf0e28-81d2-4dc7-8b10-820d80ed680d" xsi:nil="true"/>
    <ProjectNumber xmlns="d9cf0e28-81d2-4dc7-8b10-820d80ed680d">00071226</ProjectNumber>
    <DocumentType xmlns="d9cf0e28-81d2-4dc7-8b10-820d80ed680d">Annual/Multi-Year Workplan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UKR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 xsi:nil="true"/>
    <DocCoverageStartDate xmlns="d9cf0e28-81d2-4dc7-8b10-820d80ed680d" xsi:nil="true"/>
    <FileClassificationMode xmlns="d9cf0e28-81d2-4dc7-8b10-820d80ed680d">Public</FileClassificationMode>
    <OutputNumber xmlns="d9cf0e28-81d2-4dc7-8b10-820d80ed680d" xsi:nil="true"/>
  </documentManagement>
</p:properties>
</file>

<file path=customXml/item4.xml><?xml version="1.0" encoding="utf-8"?>
<?mso-contentType ?>
<SharedContentType xmlns="Microsoft.SharePoint.Taxonomy.ContentTypeSync" SourceId="28e6c43a-9e99-4bdd-9574-a0fa4ea3b61e" ContentTypeId="0x010100F075C04BA242A84ABD3293E3AD35CDA4" PreviousValue="false"/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C464118-A8A3-43AE-A460-934D1ACC9E9B}"/>
</file>

<file path=customXml/itemProps2.xml><?xml version="1.0" encoding="utf-8"?>
<ds:datastoreItem xmlns:ds="http://schemas.openxmlformats.org/officeDocument/2006/customXml" ds:itemID="{42EA3C19-BE9D-42C3-8ABC-03717CFC755B}"/>
</file>

<file path=customXml/itemProps3.xml><?xml version="1.0" encoding="utf-8"?>
<ds:datastoreItem xmlns:ds="http://schemas.openxmlformats.org/officeDocument/2006/customXml" ds:itemID="{8BCF516E-AD13-4684-951D-DE0BCE828D61}"/>
</file>

<file path=customXml/itemProps4.xml><?xml version="1.0" encoding="utf-8"?>
<ds:datastoreItem xmlns:ds="http://schemas.openxmlformats.org/officeDocument/2006/customXml" ds:itemID="{396B7432-FEDD-4E29-BEE1-45BD52951F75}"/>
</file>

<file path=customXml/itemProps5.xml><?xml version="1.0" encoding="utf-8"?>
<ds:datastoreItem xmlns:ds="http://schemas.openxmlformats.org/officeDocument/2006/customXml" ds:itemID="{2C86F44F-5C7A-4B63-9E44-93B68F8CFF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2015-06-05T18:17:20Z</dcterms:created>
  <dcterms:modified xsi:type="dcterms:W3CDTF">2017-01-30T15:42:40Z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  <property fmtid="{D5CDD505-2E9C-101B-9397-08002B2CF9AE}" pid="3" name="UNDPCountry">
    <vt:lpwstr/>
  </property>
  <property fmtid="{D5CDD505-2E9C-101B-9397-08002B2CF9AE}" pid="4" name="UndpDocTypeMM">
    <vt:lpwstr/>
  </property>
  <property fmtid="{D5CDD505-2E9C-101B-9397-08002B2CF9AE}" pid="5" name="UNDPDocumentCategory">
    <vt:lpwstr/>
  </property>
  <property fmtid="{D5CDD505-2E9C-101B-9397-08002B2CF9AE}" pid="6" name="UN Languages">
    <vt:lpwstr>1;#English|7f98b732-4b5b-4b70-ba90-a0eff09b5d2d</vt:lpwstr>
  </property>
  <property fmtid="{D5CDD505-2E9C-101B-9397-08002B2CF9AE}" pid="7" name="Operating Unit0">
    <vt:lpwstr>98;#UKR|e2e6bf00-9bba-4ee8-aba0-1b1326c94ba8</vt:lpwstr>
  </property>
  <property fmtid="{D5CDD505-2E9C-101B-9397-08002B2CF9AE}" pid="8" name="Atlas Document Status">
    <vt:lpwstr>3;#Draft|148f9654-2d0b-4582-a532-49dea0090e5d</vt:lpwstr>
  </property>
  <property fmtid="{D5CDD505-2E9C-101B-9397-08002B2CF9AE}" pid="9" name="Atlas Document Type">
    <vt:lpwstr>740;#Annual/Multi-Year Workplan|9cf9bab9-afce-4c0a-a993-b093b29e5bf8</vt:lpwstr>
  </property>
  <property fmtid="{D5CDD505-2E9C-101B-9397-08002B2CF9AE}" pid="10" name="eRegFilingCodeMM">
    <vt:lpwstr/>
  </property>
  <property fmtid="{D5CDD505-2E9C-101B-9397-08002B2CF9AE}" pid="11" name="UndpUnitMM">
    <vt:lpwstr/>
  </property>
  <property fmtid="{D5CDD505-2E9C-101B-9397-08002B2CF9AE}" pid="12" name="UNDPFocusAreas">
    <vt:lpwstr/>
  </property>
  <property fmtid="{D5CDD505-2E9C-101B-9397-08002B2CF9AE}" pid="13" name="_dlc_DocIdItemGuid">
    <vt:lpwstr>22389abf-a249-4e89-8df2-8743d88b4acb</vt:lpwstr>
  </property>
  <property fmtid="{D5CDD505-2E9C-101B-9397-08002B2CF9AE}" pid="14" name="MediaServiceImageTags">
    <vt:lpwstr/>
  </property>
  <property fmtid="{D5CDD505-2E9C-101B-9397-08002B2CF9AE}" pid="15" name="_ExtendedDescription">
    <vt:lpwstr/>
  </property>
</Properties>
</file>